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21840" windowHeight="9465" activeTab="2"/>
  </bookViews>
  <sheets>
    <sheet name="в сфере культуры" sheetId="3" r:id="rId1"/>
    <sheet name="в сфере физической культуры" sheetId="2" r:id="rId2"/>
    <sheet name="в сфере образования" sheetId="1" r:id="rId3"/>
  </sheets>
  <calcPr calcId="145621"/>
</workbook>
</file>

<file path=xl/calcChain.xml><?xml version="1.0" encoding="utf-8"?>
<calcChain xmlns="http://schemas.openxmlformats.org/spreadsheetml/2006/main">
  <c r="M36" i="1" l="1"/>
  <c r="K36" i="1"/>
  <c r="I36" i="1"/>
  <c r="G36" i="1"/>
  <c r="E36" i="1"/>
  <c r="M34" i="1"/>
  <c r="K34" i="1"/>
  <c r="I34" i="1"/>
  <c r="G34" i="1"/>
  <c r="E34" i="1"/>
  <c r="M33" i="1"/>
  <c r="K33" i="1"/>
  <c r="I33" i="1"/>
  <c r="G33" i="1"/>
  <c r="E33" i="1"/>
  <c r="M32" i="1"/>
  <c r="K32" i="1"/>
  <c r="I32" i="1"/>
  <c r="G32" i="1"/>
  <c r="E32" i="1"/>
  <c r="M31" i="1"/>
  <c r="M35" i="1" s="1"/>
  <c r="K31" i="1"/>
  <c r="K35" i="1" s="1"/>
  <c r="I31" i="1"/>
  <c r="I35" i="1" s="1"/>
  <c r="G31" i="1"/>
  <c r="G35" i="1" s="1"/>
  <c r="E31" i="1"/>
  <c r="E35" i="1" s="1"/>
  <c r="M30" i="1"/>
  <c r="K30" i="1"/>
  <c r="I30" i="1"/>
  <c r="G30" i="1"/>
  <c r="E30" i="1"/>
  <c r="F29" i="1"/>
  <c r="D29" i="1"/>
  <c r="M28" i="1"/>
  <c r="K28" i="1"/>
  <c r="I28" i="1"/>
  <c r="G28" i="1"/>
  <c r="E28" i="1"/>
  <c r="M27" i="1"/>
  <c r="K27" i="1"/>
  <c r="I27" i="1"/>
  <c r="I29" i="1" s="1"/>
  <c r="G27" i="1"/>
  <c r="E27" i="1"/>
  <c r="M26" i="1"/>
  <c r="M29" i="1" s="1"/>
  <c r="K26" i="1"/>
  <c r="K29" i="1" s="1"/>
  <c r="I26" i="1"/>
  <c r="G26" i="1"/>
  <c r="G29" i="1" s="1"/>
  <c r="E26" i="1"/>
  <c r="E29" i="1" s="1"/>
  <c r="G24" i="1"/>
  <c r="G25" i="1" s="1"/>
  <c r="M23" i="1"/>
  <c r="M24" i="1" s="1"/>
  <c r="M25" i="1" s="1"/>
  <c r="K23" i="1"/>
  <c r="I23" i="1"/>
  <c r="I24" i="1" s="1"/>
  <c r="G23" i="1"/>
  <c r="E23" i="1"/>
  <c r="E24" i="1" s="1"/>
  <c r="E25" i="1" s="1"/>
  <c r="K25" i="1" l="1"/>
  <c r="K37" i="1" s="1"/>
  <c r="M37" i="1"/>
  <c r="G37" i="1"/>
  <c r="K24" i="1"/>
  <c r="I25" i="1"/>
  <c r="I37" i="1" s="1"/>
  <c r="M31" i="3"/>
  <c r="K31" i="3"/>
  <c r="I31" i="3"/>
  <c r="G31" i="3"/>
  <c r="E31" i="3"/>
  <c r="M26" i="2" l="1"/>
  <c r="K26" i="2"/>
  <c r="I26" i="2"/>
  <c r="G26" i="2"/>
  <c r="E26" i="2"/>
  <c r="M25" i="2"/>
  <c r="K25" i="2"/>
  <c r="I25" i="2"/>
  <c r="G25" i="2"/>
  <c r="E25" i="2"/>
  <c r="M24" i="2"/>
  <c r="K24" i="2"/>
  <c r="I24" i="2"/>
  <c r="G24" i="2"/>
  <c r="E24" i="2"/>
  <c r="M23" i="2"/>
  <c r="K23" i="2"/>
  <c r="I23" i="2"/>
  <c r="G23" i="2"/>
  <c r="E23" i="2"/>
  <c r="M22" i="2"/>
  <c r="K22" i="2"/>
  <c r="I22" i="2"/>
  <c r="G22" i="2"/>
  <c r="E22" i="2"/>
  <c r="I21" i="2"/>
  <c r="G21" i="2"/>
  <c r="E21" i="2"/>
  <c r="I20" i="2"/>
  <c r="G20" i="2"/>
  <c r="E20" i="2"/>
  <c r="M19" i="2"/>
  <c r="K19" i="2"/>
  <c r="I19" i="2"/>
  <c r="I27" i="2" s="1"/>
  <c r="G19" i="2"/>
  <c r="E19" i="2"/>
  <c r="M18" i="2"/>
  <c r="K18" i="2"/>
  <c r="K27" i="2" s="1"/>
  <c r="I18" i="2"/>
  <c r="G18" i="2"/>
  <c r="E18" i="2"/>
  <c r="M17" i="2"/>
  <c r="M27" i="2" s="1"/>
  <c r="K17" i="2"/>
  <c r="I17" i="2"/>
  <c r="G17" i="2"/>
  <c r="G27" i="2" s="1"/>
  <c r="E17" i="2"/>
  <c r="M16" i="2"/>
  <c r="K16" i="2"/>
  <c r="I16" i="2"/>
  <c r="E16" i="2"/>
  <c r="M15" i="2"/>
  <c r="K15" i="2"/>
  <c r="I15" i="2"/>
  <c r="E15" i="2"/>
  <c r="E27" i="2" s="1"/>
</calcChain>
</file>

<file path=xl/comments1.xml><?xml version="1.0" encoding="utf-8"?>
<comments xmlns="http://schemas.openxmlformats.org/spreadsheetml/2006/main">
  <authors>
    <author>user</author>
    <author>Автор</author>
  </authors>
  <commentList>
    <comment ref="C1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как в росписи</t>
        </r>
      </text>
    </comment>
    <comment ref="C2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014 убр</t>
        </r>
      </text>
    </comment>
    <comment ref="G2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суммы</t>
        </r>
      </text>
    </comment>
    <comment ref="F30" authorId="1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 Ставим как в мун. Задании на 2019 год( ЕЛ. Валерьевна Фин-управл. И в 2020,2021,2022 годах</t>
        </r>
      </text>
    </comment>
    <comment ref="H30" authorId="1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 Ставим как в мун. Задании на 2019 год( Ел. Валерьевна Фин-управл.  В 2020,2021,2022 годах</t>
        </r>
      </text>
    </comment>
    <comment ref="J30" authorId="1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 Ставим как в мун. Задании на 2019 год( ЕЛ. Валерьевна Фин-управл. И в 2020,2021,2022 годах</t>
        </r>
      </text>
    </comment>
    <comment ref="L30" authorId="1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 Ставим как в мун. Задании на 2019 год( ЕЛ. Валерьевна Фин-управл. И в 2020,2021,2022 годах</t>
        </r>
      </text>
    </comment>
    <comment ref="F31" authorId="1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ставим только мероприятия 68 во всех годах ( Елена Валерьевна Фин-управление)</t>
        </r>
      </text>
    </comment>
    <comment ref="H31" authorId="1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ставим только мероприятия 68 во всех годах ( Елена Валерьевна Фин-управление)</t>
        </r>
      </text>
    </comment>
    <comment ref="J31" authorId="1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ставим только мероприятия 68 во всех годах ( Елена Валерьевна Фин-управление)</t>
        </r>
      </text>
    </comment>
    <comment ref="L31" authorId="1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ставим только мероприятия 68 во всех годах ( Елена Валерьевна Фин-управление)</t>
        </r>
      </text>
    </comment>
  </commentList>
</comments>
</file>

<file path=xl/sharedStrings.xml><?xml version="1.0" encoding="utf-8"?>
<sst xmlns="http://schemas.openxmlformats.org/spreadsheetml/2006/main" count="255" uniqueCount="143">
  <si>
    <t xml:space="preserve">                                                                                                                                                                                                                              </t>
  </si>
  <si>
    <t xml:space="preserve"> Приложение № 1 к  Порядку мониторинга потребности  </t>
  </si>
  <si>
    <t xml:space="preserve">                                                                                                                                                                                                                                  </t>
  </si>
  <si>
    <t xml:space="preserve"> в предоставлении муниципальных услуг в социальной</t>
  </si>
  <si>
    <t>сфере и учёта результатов мониторинга при формирова-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</si>
  <si>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</si>
  <si>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нии проекта городского бюджета на очередной год и</t>
  </si>
  <si>
    <t xml:space="preserve">                                                                                                                                                                                                                                </t>
  </si>
  <si>
    <t>плановый период, утверждённому постановлением</t>
  </si>
  <si>
    <t>Администрации города Тынды от "18" декабря 2018 г. № 2692</t>
  </si>
  <si>
    <t xml:space="preserve"> Управление образования Администрации города Тынды</t>
  </si>
  <si>
    <t>Результаты оценки потребности в предоставлении муниципальных услуг</t>
  </si>
  <si>
    <t xml:space="preserve"> 2019 год</t>
  </si>
  <si>
    <t>Наименование муниципальной услуги</t>
  </si>
  <si>
    <t>Единица измерения</t>
  </si>
  <si>
    <t>Код бюджетной классификации (раздел, подраздел, целевая статья, вид расходов)</t>
  </si>
  <si>
    <t>Фактическое оказание за 2018 год</t>
  </si>
  <si>
    <t>Оценка потребности в оказании муниципальной услуги по годам</t>
  </si>
  <si>
    <t>Текущий год 2019 на 01.07.2019</t>
  </si>
  <si>
    <t>Плановый период</t>
  </si>
  <si>
    <t>Очередной год 2020 год</t>
  </si>
  <si>
    <t xml:space="preserve">Первый  год планового периода 2021 год </t>
  </si>
  <si>
    <t>Второй год планового периода 2022 год</t>
  </si>
  <si>
    <t xml:space="preserve">в натуральных показателях </t>
  </si>
  <si>
    <t>в тыс.руб.</t>
  </si>
  <si>
    <t>Присмотр и уход</t>
  </si>
  <si>
    <t>Человек</t>
  </si>
  <si>
    <t>Реализация основных общеобразовательных программ дошкольного образования</t>
  </si>
  <si>
    <t>по исполнению 0701</t>
  </si>
  <si>
    <t>из формы162 оз свод-смарта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</si>
  <si>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</si>
  <si>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</si>
  <si>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</si>
  <si>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по исполнению 0702</t>
  </si>
  <si>
    <t>Реализация дополнительных общеразвивающих программ</t>
  </si>
  <si>
    <t>Методическое обеспечение образовательной деятельности</t>
  </si>
  <si>
    <t>Штук</t>
  </si>
  <si>
    <t>Содержание (эксплуатация) имущества, находящегося в государственной (муниципальной) собственности</t>
  </si>
  <si>
    <t>Тыс. кв. метров</t>
  </si>
  <si>
    <t>49.1</t>
  </si>
  <si>
    <t>54.6</t>
  </si>
  <si>
    <t>Ведение бухгалтерского учета бюджетными учреждениями, формирование регистров бухгалтерского учета</t>
  </si>
  <si>
    <t>Формирование финансовой (бухгалтерской) отчетности бюджетных и автономных учреждений</t>
  </si>
  <si>
    <t>по исполнению 0709</t>
  </si>
  <si>
    <t>Организация отдыха детей и молодежи</t>
  </si>
  <si>
    <t>итого</t>
  </si>
  <si>
    <t>Х</t>
  </si>
  <si>
    <t xml:space="preserve">Начальник УО </t>
  </si>
  <si>
    <t>О.Н.Неронова</t>
  </si>
  <si>
    <t>Исполнитель:</t>
  </si>
  <si>
    <t>О.В.Чигвинцева</t>
  </si>
  <si>
    <t>5-21-29</t>
  </si>
  <si>
    <t xml:space="preserve">Приложение № 1 к Порядку  мониторинга потребности           </t>
  </si>
  <si>
    <t xml:space="preserve">в предоставлении муниципальных услуг в социальной                 </t>
  </si>
  <si>
    <t xml:space="preserve">сфере и учета  результатов мониторинга при формировании </t>
  </si>
  <si>
    <t xml:space="preserve">проекта городского бюджета на очередной год и плановый   </t>
  </si>
  <si>
    <t>период, утвержденному постановлением Администрации</t>
  </si>
  <si>
    <t>города Тынды от « 18 » декабря 2018г. № 2692</t>
  </si>
  <si>
    <r>
      <t>Р</t>
    </r>
    <r>
      <rPr>
        <b/>
        <sz val="13"/>
        <color theme="1"/>
        <rFont val="Times New Roman"/>
        <family val="1"/>
        <charset val="204"/>
      </rPr>
      <t>езультаты оценки потребности в предоставлении</t>
    </r>
  </si>
  <si>
    <t>муниципальных услуг</t>
  </si>
  <si>
    <t>Наименов. муницип. услуги</t>
  </si>
  <si>
    <t>Код бюджетной классификации (раздел, подраздел, целевая статья, вид расхода)</t>
  </si>
  <si>
    <t>Фактическое исполнение за отчетный 2018 год</t>
  </si>
  <si>
    <t>Оценка потребности в оказании муниципальных услуг по годам</t>
  </si>
  <si>
    <t>Текущий 2019 год</t>
  </si>
  <si>
    <t>Очередной 2020 год</t>
  </si>
  <si>
    <t>Первый год планового периода 2021 год</t>
  </si>
  <si>
    <t>в натуральных показателях</t>
  </si>
  <si>
    <t>Спортивная подготовка по олимпийским видам спорта</t>
  </si>
  <si>
    <t>чел.</t>
  </si>
  <si>
    <t>Спортивная подготовка по неолимпийским видам спорта</t>
  </si>
  <si>
    <t>Обеспечение участия лиц, проходящих спортивную подготовку, в спортивных соревнованиях</t>
  </si>
  <si>
    <t>ед.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</si>
  <si>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 (ГТО)"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</si>
  <si>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</si>
  <si>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</si>
  <si>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Организация досуга детей, подростков и молодежи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</si>
  <si>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</si>
  <si>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</si>
  <si>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</si>
  <si>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Итого</t>
  </si>
  <si>
    <r>
      <t xml:space="preserve"> Начальник   ___________      </t>
    </r>
    <r>
      <rPr>
        <u/>
        <sz val="9"/>
        <color theme="1"/>
        <rFont val="Times New Roman"/>
        <family val="1"/>
        <charset val="204"/>
      </rPr>
      <t xml:space="preserve"> В.Н. Машейко  </t>
    </r>
  </si>
  <si>
    <t xml:space="preserve">                               (подпись)          (расшифровка подписи)</t>
  </si>
  <si>
    <r>
      <t xml:space="preserve"> Исполнитель   </t>
    </r>
    <r>
      <rPr>
        <u/>
        <sz val="9"/>
        <color theme="1"/>
        <rFont val="Times New Roman"/>
        <family val="1"/>
        <charset val="204"/>
      </rPr>
      <t xml:space="preserve">  Главный специалист </t>
    </r>
    <r>
      <rPr>
        <sz val="9"/>
        <color theme="1"/>
        <rFont val="Times New Roman"/>
        <family val="1"/>
        <charset val="204"/>
      </rPr>
      <t xml:space="preserve">     ___________               </t>
    </r>
    <r>
      <rPr>
        <u/>
        <sz val="9"/>
        <color theme="1"/>
        <rFont val="Times New Roman"/>
        <family val="1"/>
        <charset val="204"/>
      </rPr>
      <t>Еролина Е.В.</t>
    </r>
    <r>
      <rPr>
        <sz val="9"/>
        <color theme="1"/>
        <rFont val="Times New Roman"/>
        <family val="1"/>
        <charset val="204"/>
      </rPr>
      <t xml:space="preserve">                               </t>
    </r>
    <r>
      <rPr>
        <u/>
        <sz val="9"/>
        <color theme="1"/>
        <rFont val="Times New Roman"/>
        <family val="1"/>
        <charset val="204"/>
      </rPr>
      <t>40870</t>
    </r>
  </si>
  <si>
    <t xml:space="preserve">                            (должность)                     (подпись)            (расшифровка подписи)           (номер телефона)</t>
  </si>
  <si>
    <t xml:space="preserve">  </t>
  </si>
  <si>
    <t>Фактическое исполнение за отчетный год</t>
  </si>
  <si>
    <t>Текущий год</t>
  </si>
  <si>
    <t>Очередной год</t>
  </si>
  <si>
    <t>Первый год планового периода</t>
  </si>
  <si>
    <t>Второй год планового периода</t>
  </si>
  <si>
    <t>Реализация дополнительных общеразвивающих программ;</t>
  </si>
  <si>
    <t>Реализация дополнительных общеразвивающих предпрофесиональных  программ;</t>
  </si>
  <si>
    <t>Показ (организация показа) концертов и концертных программ</t>
  </si>
  <si>
    <t>Организация деятельности клубных формирований и формирований самодеятельного народного творчества</t>
  </si>
  <si>
    <t>Публичный показ музейных предметов, музейных коллекций</t>
  </si>
  <si>
    <t>06 3 01 22840 611</t>
  </si>
  <si>
    <t>Формирование, учет, изучение, обеспечение физического сохранения и безопасности музейных предметов и музейных коллекций</t>
  </si>
  <si>
    <t>Ед.</t>
  </si>
  <si>
    <t>Создание экспозиций (выставок)</t>
  </si>
  <si>
    <t>Шт.</t>
  </si>
  <si>
    <t>Библиотечное, библиографическое  и информационное обслуживание пользователей библиотеки</t>
  </si>
  <si>
    <t>Формирование, учет, изучение, обеспечение физического сохранения и безопасности фондов библиотеки</t>
  </si>
  <si>
    <t>Библиографическая обработка документов и создание каталогов</t>
  </si>
  <si>
    <t>Показ (организация показа) спектаклей (театральных постановок)</t>
  </si>
  <si>
    <t>Создание спектаклей</t>
  </si>
  <si>
    <t>Организация показа концертов и концертных программ</t>
  </si>
  <si>
    <t>Показ кинофильмов</t>
  </si>
  <si>
    <t>Оказание информационных услуг на основе архивных документов</t>
  </si>
  <si>
    <t>Обеспечение сохранности и учет архивных документов</t>
  </si>
  <si>
    <t>Комплектование архивными документами</t>
  </si>
  <si>
    <t>Формирование финансовой (бухгалтерской) отчетности  бюджетных и автономных учреждений</t>
  </si>
  <si>
    <t xml:space="preserve">    </t>
  </si>
  <si>
    <t>052 01 22840 611    052 01 S7710 611  052 01 22840 621    052 01 S7710 621</t>
  </si>
  <si>
    <t>052 01 22840 611    052 01 S7710 611</t>
  </si>
  <si>
    <t>021 02 22840 611  021 02 S7710 611</t>
  </si>
  <si>
    <t>Приложение №1   к  порядку Мониторинга потребность  в  предоставлении  муниципальных  услуг    в социальной сфере и  учета результатов   мониторинга при формировании проекта   городского бюджета на очередной год и  плановый период, утвержденного постановлением  Администрации  города Тынды от 18.12.1918г. №2692</t>
  </si>
  <si>
    <t>Результаты оценки потребности в предоставлении</t>
  </si>
  <si>
    <t>Наименов.муницип. Услуги</t>
  </si>
  <si>
    <t>06 1 01 22840 611     06 1 01 S7710 611</t>
  </si>
  <si>
    <t>06 1 01 22840 611            06 1 01 S7710 611</t>
  </si>
  <si>
    <t>06 2 01 22840 621           06 2 01 S7710 621</t>
  </si>
  <si>
    <t>06 2 01 22840 621              06 2 01 S7710 621</t>
  </si>
  <si>
    <t>06 4 01 22840 611            06 4 01 S7710 611</t>
  </si>
  <si>
    <t>06 4 01 22840 611      06 4 01 S7710 611</t>
  </si>
  <si>
    <t>06 5 01 22840 611          06 5 01 S7710 611</t>
  </si>
  <si>
    <t>06 5 01 22840 611             06 5 01 S7710 611</t>
  </si>
  <si>
    <t>06 6 01 22840 611     06 6 01 S7710 611</t>
  </si>
  <si>
    <t>06 6 01 22840 611            06 6 01 S7710 611</t>
  </si>
  <si>
    <t>06 6 01 22840 611    06 6 01 S7710 611</t>
  </si>
  <si>
    <t>06 7 02 22840 611         06 7 02 S7710 611</t>
  </si>
  <si>
    <t>06 7 02 22840 611             06 7 02 S7710 611</t>
  </si>
  <si>
    <r>
      <t xml:space="preserve"> Руководитель __________________________    </t>
    </r>
    <r>
      <rPr>
        <u/>
        <sz val="9"/>
        <color theme="1"/>
        <rFont val="Times New Roman"/>
        <family val="1"/>
        <charset val="204"/>
      </rPr>
      <t xml:space="preserve">    А.М. Шиян      </t>
    </r>
  </si>
  <si>
    <t xml:space="preserve">                                    (подпись)                         (расшифровка подписи)</t>
  </si>
  <si>
    <t xml:space="preserve"> Исполнитель  гл. специалист           ______________________       С.А.Николаева                               51-278</t>
  </si>
  <si>
    <t xml:space="preserve">                          (должность)                            (подпись)                  (расшифровка подписи)        (номер телефона)</t>
  </si>
  <si>
    <t>0701 04 1 01 S7710 611                           0701 04 1 01 S7710 621</t>
  </si>
  <si>
    <t xml:space="preserve">0701 04 1 01 22840 611                       0701 04 1 01 22840 621                             0701 04 1 01 88500 611                       0701 04 1 01 88500 621           0701 04 1 01 S7710 611                           0701 04 1 01 S7710 621                   </t>
  </si>
  <si>
    <t xml:space="preserve">0702 04 2 01 22840 611                     0702 04 2 01 22840 621                                  0702 04 2 01 88500 611                  0702 04 2 01 88500 621                   0702 04 2 01 S7710 611                0702 04 2 01 S7710 621              </t>
  </si>
  <si>
    <t xml:space="preserve">0702 04 2 01 22840 611                      0702 04 2 01 22840 621                                0702 04 2 01 88500 611                    0702 04 2 01 88500 621                0702 04 2 01 S7710 611                  0702 04 2 01 S7710 621              </t>
  </si>
  <si>
    <t>0703 04 3 01 22840 611            0703 04 3 01 S7710 611</t>
  </si>
  <si>
    <t>0709 04 6 02 22840 611         0709 04 6 02 S7710 611</t>
  </si>
  <si>
    <t>0707 04 4 01 S7500 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</si>
</sst>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0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5" fillId="0" borderId="16">
      <alignment horizontal="center" wrapText="1"/>
    </xf>
    <xf numFmtId="0" fontId="18" fillId="0" borderId="0" applyNumberFormat="0" applyFill="0" applyBorder="0" applyAlignment="0" applyProtection="0"/>
  </cellStyleXfs>
  <cellXfs count="111">
    <xf numFmtId="0" fontId="0" fillId="0" borderId="0" xfId="0"/>
    <xf numFmtId="0" fontId="2" fillId="0" borderId="0" xfId="0" applyFont="1" applyFill="1"/>
    <xf numFmtId="49" fontId="2" fillId="0" borderId="0" xfId="0" applyNumberFormat="1" applyFont="1" applyFill="1"/>
    <xf numFmtId="0" fontId="1" fillId="0" borderId="4" xfId="0" applyFont="1" applyFill="1" applyBorder="1" applyAlignment="1">
      <alignment horizontal="center" vertical="top" wrapText="1"/>
    </xf>
    <xf numFmtId="4" fontId="1" fillId="0" borderId="14" xfId="0" applyNumberFormat="1" applyFont="1" applyFill="1" applyBorder="1" applyAlignment="1">
      <alignment vertical="top" wrapText="1"/>
    </xf>
    <xf numFmtId="0" fontId="1" fillId="0" borderId="10" xfId="0" applyFont="1" applyFill="1" applyBorder="1" applyAlignment="1">
      <alignment horizontal="center" vertical="top" wrapText="1"/>
    </xf>
    <xf numFmtId="4" fontId="5" fillId="0" borderId="14" xfId="0" applyNumberFormat="1" applyFont="1" applyFill="1" applyBorder="1" applyAlignment="1">
      <alignment vertical="top" wrapText="1"/>
    </xf>
    <xf numFmtId="0" fontId="1" fillId="0" borderId="14" xfId="0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vertical="top" wrapText="1"/>
    </xf>
    <xf numFmtId="0" fontId="1" fillId="0" borderId="0" xfId="0" applyFont="1" applyFill="1" applyAlignment="1"/>
    <xf numFmtId="0" fontId="0" fillId="0" borderId="0" xfId="0" applyFill="1"/>
    <xf numFmtId="0" fontId="3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1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vertical="top" wrapText="1"/>
    </xf>
    <xf numFmtId="4" fontId="1" fillId="0" borderId="4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" fontId="5" fillId="0" borderId="6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4" fontId="0" fillId="0" borderId="0" xfId="0" applyNumberFormat="1" applyFill="1"/>
    <xf numFmtId="0" fontId="5" fillId="0" borderId="6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right" vertical="top" wrapText="1"/>
    </xf>
    <xf numFmtId="0" fontId="6" fillId="0" borderId="14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right" vertical="top" wrapText="1"/>
    </xf>
    <xf numFmtId="0" fontId="0" fillId="0" borderId="0" xfId="0" applyFill="1" applyAlignment="1">
      <alignment wrapText="1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0" fontId="7" fillId="0" borderId="0" xfId="0" applyFont="1" applyFill="1" applyAlignment="1">
      <alignment horizontal="right"/>
    </xf>
    <xf numFmtId="0" fontId="9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0" xfId="0" applyFont="1"/>
    <xf numFmtId="0" fontId="1" fillId="0" borderId="0" xfId="0" applyFont="1"/>
    <xf numFmtId="0" fontId="1" fillId="0" borderId="0" xfId="0" applyFont="1" applyAlignment="1">
      <alignment horizontal="left" indent="15"/>
    </xf>
    <xf numFmtId="0" fontId="12" fillId="0" borderId="0" xfId="0" applyFont="1" applyAlignment="1">
      <alignment horizontal="justify"/>
    </xf>
    <xf numFmtId="0" fontId="14" fillId="0" borderId="15" xfId="0" applyFont="1" applyBorder="1" applyAlignment="1">
      <alignment horizontal="justify" vertical="top" wrapText="1"/>
    </xf>
    <xf numFmtId="0" fontId="13" fillId="0" borderId="15" xfId="0" applyFont="1" applyBorder="1" applyAlignment="1">
      <alignment horizontal="center" wrapText="1"/>
    </xf>
    <xf numFmtId="4" fontId="13" fillId="0" borderId="15" xfId="0" applyNumberFormat="1" applyFont="1" applyBorder="1" applyAlignment="1">
      <alignment horizontal="center" wrapText="1"/>
    </xf>
    <xf numFmtId="4" fontId="0" fillId="0" borderId="0" xfId="0" applyNumberFormat="1"/>
    <xf numFmtId="2" fontId="0" fillId="0" borderId="0" xfId="0" applyNumberFormat="1"/>
    <xf numFmtId="164" fontId="0" fillId="0" borderId="0" xfId="0" applyNumberFormat="1"/>
    <xf numFmtId="0" fontId="15" fillId="0" borderId="16" xfId="1" applyNumberFormat="1" applyFont="1" applyAlignment="1" applyProtection="1">
      <alignment horizontal="left" wrapText="1"/>
    </xf>
    <xf numFmtId="0" fontId="5" fillId="0" borderId="15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center" vertical="top" wrapText="1"/>
    </xf>
    <xf numFmtId="4" fontId="5" fillId="0" borderId="15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justify"/>
    </xf>
    <xf numFmtId="0" fontId="12" fillId="0" borderId="0" xfId="0" applyFont="1" applyAlignment="1"/>
    <xf numFmtId="0" fontId="0" fillId="0" borderId="0" xfId="0" applyAlignment="1">
      <alignment horizontal="center"/>
    </xf>
    <xf numFmtId="0" fontId="17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0" fillId="0" borderId="0" xfId="0" applyFont="1" applyAlignment="1">
      <alignment horizontal="center"/>
    </xf>
    <xf numFmtId="0" fontId="13" fillId="0" borderId="15" xfId="0" applyFont="1" applyBorder="1" applyAlignment="1">
      <alignment horizontal="left" vertical="top" wrapText="1"/>
    </xf>
    <xf numFmtId="0" fontId="12" fillId="0" borderId="0" xfId="0" applyFont="1" applyAlignment="1">
      <alignment horizontal="center"/>
    </xf>
    <xf numFmtId="0" fontId="1" fillId="0" borderId="0" xfId="0" applyFont="1" applyFill="1" applyAlignment="1">
      <alignment horizontal="left"/>
    </xf>
    <xf numFmtId="0" fontId="6" fillId="0" borderId="4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4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14" fillId="0" borderId="15" xfId="0" applyFont="1" applyBorder="1" applyAlignment="1">
      <alignment horizontal="justify" vertical="center" wrapText="1"/>
    </xf>
    <xf numFmtId="0" fontId="13" fillId="0" borderId="15" xfId="0" applyFont="1" applyBorder="1" applyAlignment="1">
      <alignment vertical="center" wrapText="1"/>
    </xf>
    <xf numFmtId="3" fontId="13" fillId="0" borderId="15" xfId="0" applyNumberFormat="1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 wrapText="1"/>
    </xf>
    <xf numFmtId="0" fontId="19" fillId="0" borderId="15" xfId="2" applyFont="1" applyBorder="1" applyAlignment="1">
      <alignment vertical="center" wrapText="1"/>
    </xf>
    <xf numFmtId="0" fontId="20" fillId="0" borderId="0" xfId="0" applyFont="1"/>
    <xf numFmtId="0" fontId="13" fillId="0" borderId="15" xfId="0" applyFont="1" applyBorder="1" applyAlignment="1">
      <alignment horizontal="justify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15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justify" vertical="top" wrapText="1"/>
    </xf>
    <xf numFmtId="0" fontId="6" fillId="0" borderId="5" xfId="0" applyFont="1" applyFill="1" applyBorder="1" applyAlignment="1">
      <alignment horizontal="justify" vertical="top" wrapText="1"/>
    </xf>
    <xf numFmtId="0" fontId="6" fillId="0" borderId="6" xfId="0" applyFont="1" applyFill="1" applyBorder="1" applyAlignment="1">
      <alignment horizontal="justify" vertical="top" wrapText="1"/>
    </xf>
    <xf numFmtId="0" fontId="6" fillId="0" borderId="2" xfId="0" applyFont="1" applyFill="1" applyBorder="1" applyAlignment="1">
      <alignment horizontal="justify" vertical="top" wrapText="1"/>
    </xf>
    <xf numFmtId="0" fontId="6" fillId="0" borderId="8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7" xfId="0" applyFont="1" applyFill="1" applyBorder="1" applyAlignment="1">
      <alignment horizontal="justify" vertical="top" wrapText="1"/>
    </xf>
    <xf numFmtId="0" fontId="6" fillId="0" borderId="13" xfId="0" applyFont="1" applyFill="1" applyBorder="1" applyAlignment="1">
      <alignment horizontal="justify" vertical="top" wrapText="1"/>
    </xf>
    <xf numFmtId="0" fontId="6" fillId="0" borderId="10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justify" vertical="top" wrapText="1"/>
    </xf>
    <xf numFmtId="0" fontId="6" fillId="0" borderId="11" xfId="0" applyFont="1" applyFill="1" applyBorder="1" applyAlignment="1">
      <alignment horizontal="justify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4" fontId="1" fillId="0" borderId="12" xfId="0" applyNumberFormat="1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right" vertical="top" wrapText="1"/>
    </xf>
  </cellXfs>
  <cellStyles count="3">
    <cellStyle name="st36" xfId="1"/>
    <cellStyle name="Гиперссылка" xfId="2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0</xdr:row>
      <xdr:rowOff>213361</xdr:rowOff>
    </xdr:from>
    <xdr:to>
      <xdr:col>1</xdr:col>
      <xdr:colOff>266700</xdr:colOff>
      <xdr:row>11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1920" y="213361"/>
          <a:ext cx="2621280" cy="219455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Российская Федерация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Администрация г.Тынды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ru-RU" sz="3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Управление образования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1000"/>
            </a:lnSpc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Администрации города Тынды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ru-RU" sz="300" b="1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ул. Амурская, 20А, г.Тында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Амурской области, 676282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1000"/>
            </a:lnSpc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Тел. 52-100, 52-101, 52-102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1000"/>
            </a:lnSpc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Факс: 8-(416-56)-52-101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1000"/>
            </a:lnSpc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E-mail: tyngor@amur.ru</a:t>
          </a:r>
          <a:endParaRPr lang="en-US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1000"/>
            </a:lnSpc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ОКПО 22191976, ОГРН 1022800776415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1100"/>
            </a:lnSpc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ИНН/КПП 2808002838/280801001</a:t>
          </a:r>
        </a:p>
        <a:p>
          <a:pPr algn="ctr" rtl="0">
            <a:lnSpc>
              <a:spcPts val="1100"/>
            </a:lnSpc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__________ № ________</a:t>
          </a:r>
        </a:p>
        <a:p>
          <a:pPr algn="ctr" rtl="0">
            <a:lnSpc>
              <a:spcPts val="1000"/>
            </a:lnSpc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1100"/>
            </a:lnSpc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на № _________________</a:t>
          </a:r>
        </a:p>
      </xdr:txBody>
    </xdr:sp>
    <xdr:clientData/>
  </xdr:twoCellAnchor>
  <xdr:twoCellAnchor>
    <xdr:from>
      <xdr:col>0</xdr:col>
      <xdr:colOff>121920</xdr:colOff>
      <xdr:row>0</xdr:row>
      <xdr:rowOff>213361</xdr:rowOff>
    </xdr:from>
    <xdr:to>
      <xdr:col>1</xdr:col>
      <xdr:colOff>266700</xdr:colOff>
      <xdr:row>11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21920" y="213361"/>
          <a:ext cx="2297430" cy="227266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endParaRPr lang="ru-RU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bus.gov.ru/public/agency/agency_work_info.html?work=5006812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workbookViewId="0">
      <selection activeCell="G46" sqref="G46"/>
    </sheetView>
  </sheetViews>
  <sheetFormatPr defaultRowHeight="15" x14ac:dyDescent="0.25"/>
  <cols>
    <col min="1" max="1" width="43" customWidth="1"/>
    <col min="2" max="2" width="10.7109375" customWidth="1"/>
    <col min="3" max="3" width="15.5703125" customWidth="1"/>
    <col min="4" max="13" width="11.7109375" customWidth="1"/>
    <col min="22" max="22" width="12.7109375" customWidth="1"/>
  </cols>
  <sheetData>
    <row r="1" spans="1:22" ht="114" customHeight="1" x14ac:dyDescent="0.25">
      <c r="A1" s="50"/>
      <c r="B1" s="50"/>
      <c r="C1" s="50"/>
      <c r="D1" s="50"/>
      <c r="E1" s="50"/>
      <c r="F1" s="50"/>
      <c r="G1" s="50"/>
      <c r="H1" s="50"/>
      <c r="I1" s="74" t="s">
        <v>116</v>
      </c>
      <c r="J1" s="74"/>
      <c r="K1" s="74"/>
      <c r="L1" s="74"/>
      <c r="M1" s="74"/>
      <c r="N1" s="50"/>
      <c r="O1" s="50"/>
      <c r="P1" s="50"/>
      <c r="Q1" s="50"/>
      <c r="R1" s="74"/>
      <c r="S1" s="74"/>
      <c r="T1" s="74"/>
      <c r="U1" s="74"/>
      <c r="V1" s="74"/>
    </row>
    <row r="2" spans="1:22" ht="22.5" customHeight="1" x14ac:dyDescent="0.25">
      <c r="A2" s="50"/>
      <c r="B2" s="50"/>
      <c r="C2" s="50"/>
      <c r="D2" s="50"/>
      <c r="E2" s="50"/>
      <c r="F2" s="50"/>
      <c r="G2" s="50"/>
      <c r="H2" s="50"/>
      <c r="I2" s="63"/>
      <c r="J2" s="63"/>
      <c r="K2" s="63"/>
      <c r="L2" s="63"/>
      <c r="M2" s="63"/>
      <c r="N2" s="50"/>
      <c r="O2" s="50"/>
      <c r="P2" s="50"/>
      <c r="Q2" s="50"/>
      <c r="R2" s="63"/>
      <c r="S2" s="63"/>
      <c r="T2" s="63"/>
      <c r="U2" s="63"/>
      <c r="V2" s="63"/>
    </row>
    <row r="3" spans="1:22" ht="18.75" x14ac:dyDescent="0.25">
      <c r="A3" s="75" t="s">
        <v>117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64"/>
      <c r="O3" s="64"/>
      <c r="P3" s="64"/>
      <c r="Q3" s="64"/>
      <c r="R3" s="64"/>
      <c r="S3" s="64"/>
      <c r="T3" s="64"/>
      <c r="U3" s="64"/>
      <c r="V3" s="64"/>
    </row>
    <row r="4" spans="1:22" ht="18.75" x14ac:dyDescent="0.25">
      <c r="A4" s="75" t="s">
        <v>59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64"/>
      <c r="O4" s="64"/>
      <c r="P4" s="64"/>
      <c r="Q4" s="64"/>
      <c r="R4" s="64"/>
      <c r="S4" s="64"/>
      <c r="T4" s="64"/>
      <c r="U4" s="64"/>
      <c r="V4" s="64"/>
    </row>
    <row r="5" spans="1:22" x14ac:dyDescent="0.25">
      <c r="A5" s="51"/>
    </row>
    <row r="6" spans="1:22" ht="26.25" customHeight="1" x14ac:dyDescent="0.25">
      <c r="A6" s="76" t="s">
        <v>118</v>
      </c>
      <c r="B6" s="76" t="s">
        <v>14</v>
      </c>
      <c r="C6" s="76" t="s">
        <v>61</v>
      </c>
      <c r="D6" s="76" t="s">
        <v>86</v>
      </c>
      <c r="E6" s="76"/>
      <c r="F6" s="76" t="s">
        <v>63</v>
      </c>
      <c r="G6" s="76"/>
      <c r="H6" s="76"/>
      <c r="I6" s="76"/>
      <c r="J6" s="76"/>
      <c r="K6" s="76"/>
      <c r="L6" s="76"/>
      <c r="M6" s="76"/>
    </row>
    <row r="7" spans="1:22" ht="15.75" customHeight="1" x14ac:dyDescent="0.25">
      <c r="A7" s="76"/>
      <c r="B7" s="76"/>
      <c r="C7" s="76"/>
      <c r="D7" s="76"/>
      <c r="E7" s="76"/>
      <c r="F7" s="76" t="s">
        <v>87</v>
      </c>
      <c r="G7" s="76"/>
      <c r="H7" s="76" t="s">
        <v>19</v>
      </c>
      <c r="I7" s="76"/>
      <c r="J7" s="76"/>
      <c r="K7" s="76"/>
      <c r="L7" s="76"/>
      <c r="M7" s="76"/>
    </row>
    <row r="8" spans="1:22" ht="7.5" customHeight="1" x14ac:dyDescent="0.25">
      <c r="A8" s="76"/>
      <c r="B8" s="76"/>
      <c r="C8" s="76"/>
      <c r="D8" s="76"/>
      <c r="E8" s="76"/>
      <c r="F8" s="76"/>
      <c r="G8" s="76"/>
      <c r="H8" s="76" t="s">
        <v>88</v>
      </c>
      <c r="I8" s="76"/>
      <c r="J8" s="76" t="s">
        <v>89</v>
      </c>
      <c r="K8" s="76"/>
      <c r="L8" s="76" t="s">
        <v>90</v>
      </c>
      <c r="M8" s="76"/>
    </row>
    <row r="9" spans="1:22" ht="7.5" customHeight="1" x14ac:dyDescent="0.25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22" ht="24" customHeight="1" x14ac:dyDescent="0.25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22" ht="40.5" customHeight="1" x14ac:dyDescent="0.25">
      <c r="A11" s="65"/>
      <c r="B11" s="65"/>
      <c r="C11" s="65"/>
      <c r="D11" s="62" t="s">
        <v>67</v>
      </c>
      <c r="E11" s="62" t="s">
        <v>24</v>
      </c>
      <c r="F11" s="62" t="s">
        <v>67</v>
      </c>
      <c r="G11" s="62" t="s">
        <v>24</v>
      </c>
      <c r="H11" s="62" t="s">
        <v>67</v>
      </c>
      <c r="I11" s="62" t="s">
        <v>24</v>
      </c>
      <c r="J11" s="62" t="s">
        <v>67</v>
      </c>
      <c r="K11" s="62" t="s">
        <v>24</v>
      </c>
      <c r="L11" s="62" t="s">
        <v>67</v>
      </c>
      <c r="M11" s="62" t="s">
        <v>24</v>
      </c>
    </row>
    <row r="12" spans="1:22" ht="40.5" customHeight="1" x14ac:dyDescent="0.25">
      <c r="A12" s="66" t="s">
        <v>91</v>
      </c>
      <c r="B12" s="62" t="s">
        <v>69</v>
      </c>
      <c r="C12" s="62" t="s">
        <v>119</v>
      </c>
      <c r="D12" s="67">
        <v>67</v>
      </c>
      <c r="E12" s="68">
        <v>10398.19</v>
      </c>
      <c r="F12" s="67">
        <v>83</v>
      </c>
      <c r="G12" s="68">
        <v>10361.280000000001</v>
      </c>
      <c r="H12" s="67">
        <v>83</v>
      </c>
      <c r="I12" s="68">
        <v>22468.97</v>
      </c>
      <c r="J12" s="67">
        <v>63</v>
      </c>
      <c r="K12" s="68">
        <v>22502.65</v>
      </c>
      <c r="L12" s="67">
        <v>63</v>
      </c>
      <c r="M12" s="68">
        <v>22537.06</v>
      </c>
    </row>
    <row r="13" spans="1:22" ht="40.5" customHeight="1" x14ac:dyDescent="0.25">
      <c r="A13" s="66" t="s">
        <v>92</v>
      </c>
      <c r="B13" s="62" t="s">
        <v>69</v>
      </c>
      <c r="C13" s="62" t="s">
        <v>120</v>
      </c>
      <c r="D13" s="67">
        <v>448</v>
      </c>
      <c r="E13" s="68">
        <v>19402.366999999998</v>
      </c>
      <c r="F13" s="67">
        <v>449</v>
      </c>
      <c r="G13" s="68">
        <v>24176.32</v>
      </c>
      <c r="H13" s="67">
        <v>450</v>
      </c>
      <c r="I13" s="68">
        <v>18366.5</v>
      </c>
      <c r="J13" s="67">
        <v>469</v>
      </c>
      <c r="K13" s="68">
        <v>18396.240000000002</v>
      </c>
      <c r="L13" s="67">
        <v>469</v>
      </c>
      <c r="M13" s="68">
        <v>18423.41</v>
      </c>
    </row>
    <row r="14" spans="1:22" ht="40.5" customHeight="1" x14ac:dyDescent="0.25">
      <c r="A14" s="66" t="s">
        <v>93</v>
      </c>
      <c r="B14" s="62" t="s">
        <v>69</v>
      </c>
      <c r="C14" s="62" t="s">
        <v>121</v>
      </c>
      <c r="D14" s="67">
        <v>54692</v>
      </c>
      <c r="E14" s="68">
        <v>13871.627</v>
      </c>
      <c r="F14" s="67">
        <v>49220</v>
      </c>
      <c r="G14" s="68">
        <v>13938.8</v>
      </c>
      <c r="H14" s="67">
        <v>51681</v>
      </c>
      <c r="I14" s="68">
        <v>25334.38</v>
      </c>
      <c r="J14" s="67">
        <v>54265</v>
      </c>
      <c r="K14" s="68">
        <v>24992.74</v>
      </c>
      <c r="L14" s="67">
        <v>54265</v>
      </c>
      <c r="M14" s="68">
        <v>25177.35</v>
      </c>
    </row>
    <row r="15" spans="1:22" s="70" customFormat="1" ht="45" customHeight="1" x14ac:dyDescent="0.25">
      <c r="A15" s="69" t="s">
        <v>94</v>
      </c>
      <c r="B15" s="62" t="s">
        <v>69</v>
      </c>
      <c r="C15" s="62" t="s">
        <v>122</v>
      </c>
      <c r="D15" s="67">
        <v>25</v>
      </c>
      <c r="E15" s="68">
        <v>4623.875</v>
      </c>
      <c r="F15" s="67">
        <v>25</v>
      </c>
      <c r="G15" s="68">
        <v>4646.26</v>
      </c>
      <c r="H15" s="67">
        <v>25</v>
      </c>
      <c r="I15" s="68">
        <v>8444.7999999999993</v>
      </c>
      <c r="J15" s="67">
        <v>25</v>
      </c>
      <c r="K15" s="68">
        <v>8330.91</v>
      </c>
      <c r="L15" s="67">
        <v>25</v>
      </c>
      <c r="M15" s="68">
        <v>8392.4500000000007</v>
      </c>
    </row>
    <row r="16" spans="1:22" ht="30" customHeight="1" x14ac:dyDescent="0.25">
      <c r="A16" s="66" t="s">
        <v>95</v>
      </c>
      <c r="B16" s="62" t="s">
        <v>69</v>
      </c>
      <c r="C16" s="62" t="s">
        <v>96</v>
      </c>
      <c r="D16" s="67">
        <v>40750</v>
      </c>
      <c r="E16" s="68">
        <v>1669.08</v>
      </c>
      <c r="F16" s="67">
        <v>55000</v>
      </c>
      <c r="G16" s="68">
        <v>1774.7</v>
      </c>
      <c r="H16" s="67">
        <v>55000</v>
      </c>
      <c r="I16" s="68">
        <v>3908.78</v>
      </c>
      <c r="J16" s="67">
        <v>55000</v>
      </c>
      <c r="K16" s="68">
        <v>3921.26</v>
      </c>
      <c r="L16" s="67">
        <v>55000</v>
      </c>
      <c r="M16" s="68">
        <v>3934.01</v>
      </c>
    </row>
    <row r="17" spans="1:13" ht="40.5" customHeight="1" x14ac:dyDescent="0.25">
      <c r="A17" s="66" t="s">
        <v>97</v>
      </c>
      <c r="B17" s="62" t="s">
        <v>98</v>
      </c>
      <c r="C17" s="62" t="s">
        <v>96</v>
      </c>
      <c r="D17" s="67">
        <v>242</v>
      </c>
      <c r="E17" s="68">
        <v>890.17600000000004</v>
      </c>
      <c r="F17" s="67">
        <v>150</v>
      </c>
      <c r="G17" s="68">
        <v>946.51</v>
      </c>
      <c r="H17" s="67">
        <v>150</v>
      </c>
      <c r="I17" s="68">
        <v>2931.59</v>
      </c>
      <c r="J17" s="67">
        <v>150</v>
      </c>
      <c r="K17" s="68">
        <v>2940.95</v>
      </c>
      <c r="L17" s="67">
        <v>150</v>
      </c>
      <c r="M17" s="68">
        <v>2950.51</v>
      </c>
    </row>
    <row r="18" spans="1:13" ht="32.25" customHeight="1" x14ac:dyDescent="0.25">
      <c r="A18" s="66" t="s">
        <v>99</v>
      </c>
      <c r="B18" s="62" t="s">
        <v>100</v>
      </c>
      <c r="C18" s="62" t="s">
        <v>96</v>
      </c>
      <c r="D18" s="67">
        <v>46</v>
      </c>
      <c r="E18" s="68">
        <v>8567.9449999999997</v>
      </c>
      <c r="F18" s="67">
        <v>25</v>
      </c>
      <c r="G18" s="68">
        <v>9110.15</v>
      </c>
      <c r="H18" s="67">
        <v>25</v>
      </c>
      <c r="I18" s="68">
        <v>12703.55</v>
      </c>
      <c r="J18" s="67">
        <v>25</v>
      </c>
      <c r="K18" s="68">
        <v>12744.1</v>
      </c>
      <c r="L18" s="67">
        <v>25</v>
      </c>
      <c r="M18" s="68">
        <v>12785.55</v>
      </c>
    </row>
    <row r="19" spans="1:13" ht="40.5" customHeight="1" x14ac:dyDescent="0.25">
      <c r="A19" s="66" t="s">
        <v>101</v>
      </c>
      <c r="B19" s="62" t="s">
        <v>69</v>
      </c>
      <c r="C19" s="62" t="s">
        <v>123</v>
      </c>
      <c r="D19" s="67">
        <v>57646</v>
      </c>
      <c r="E19" s="68">
        <v>7801.393</v>
      </c>
      <c r="F19" s="67">
        <v>57000</v>
      </c>
      <c r="G19" s="68">
        <v>8125.17</v>
      </c>
      <c r="H19" s="67">
        <v>42800</v>
      </c>
      <c r="I19" s="68">
        <v>12504.51</v>
      </c>
      <c r="J19" s="67">
        <v>42800</v>
      </c>
      <c r="K19" s="68">
        <v>12530.65</v>
      </c>
      <c r="L19" s="67">
        <v>42800</v>
      </c>
      <c r="M19" s="68">
        <v>12557.36</v>
      </c>
    </row>
    <row r="20" spans="1:13" ht="40.5" customHeight="1" x14ac:dyDescent="0.25">
      <c r="A20" s="66" t="s">
        <v>102</v>
      </c>
      <c r="B20" s="62" t="s">
        <v>100</v>
      </c>
      <c r="C20" s="62" t="s">
        <v>123</v>
      </c>
      <c r="D20" s="67">
        <v>3513</v>
      </c>
      <c r="E20" s="68">
        <v>1009.592</v>
      </c>
      <c r="F20" s="67">
        <v>3000</v>
      </c>
      <c r="G20" s="68">
        <v>1051.49</v>
      </c>
      <c r="H20" s="67">
        <v>3000</v>
      </c>
      <c r="I20" s="68">
        <v>1618.23</v>
      </c>
      <c r="J20" s="67">
        <v>3000</v>
      </c>
      <c r="K20" s="68">
        <v>1621.61</v>
      </c>
      <c r="L20" s="67">
        <v>3000</v>
      </c>
      <c r="M20" s="68">
        <v>1625.07</v>
      </c>
    </row>
    <row r="21" spans="1:13" ht="40.5" customHeight="1" x14ac:dyDescent="0.25">
      <c r="A21" s="66" t="s">
        <v>103</v>
      </c>
      <c r="B21" s="62" t="s">
        <v>98</v>
      </c>
      <c r="C21" s="62" t="s">
        <v>124</v>
      </c>
      <c r="D21" s="67">
        <v>480</v>
      </c>
      <c r="E21" s="68">
        <v>367.12400000000002</v>
      </c>
      <c r="F21" s="67">
        <v>420</v>
      </c>
      <c r="G21" s="68">
        <v>382.36</v>
      </c>
      <c r="H21" s="67">
        <v>420</v>
      </c>
      <c r="I21" s="68">
        <v>588.45000000000005</v>
      </c>
      <c r="J21" s="67">
        <v>500</v>
      </c>
      <c r="K21" s="68">
        <v>589.67999999999995</v>
      </c>
      <c r="L21" s="67">
        <v>500</v>
      </c>
      <c r="M21" s="68">
        <v>590.92999999999995</v>
      </c>
    </row>
    <row r="22" spans="1:13" ht="35.25" customHeight="1" x14ac:dyDescent="0.25">
      <c r="A22" s="66" t="s">
        <v>104</v>
      </c>
      <c r="B22" s="62" t="s">
        <v>69</v>
      </c>
      <c r="C22" s="62" t="s">
        <v>125</v>
      </c>
      <c r="D22" s="67">
        <v>8195</v>
      </c>
      <c r="E22" s="68">
        <v>11403.83</v>
      </c>
      <c r="F22" s="67">
        <v>8500</v>
      </c>
      <c r="G22" s="68">
        <v>13239.59</v>
      </c>
      <c r="H22" s="67">
        <v>8500</v>
      </c>
      <c r="I22" s="68">
        <v>15393.37</v>
      </c>
      <c r="J22" s="67">
        <v>8500</v>
      </c>
      <c r="K22" s="68">
        <v>15413.81</v>
      </c>
      <c r="L22" s="67">
        <v>8500</v>
      </c>
      <c r="M22" s="68">
        <v>15434.7</v>
      </c>
    </row>
    <row r="23" spans="1:13" ht="33.75" customHeight="1" x14ac:dyDescent="0.25">
      <c r="A23" s="66" t="s">
        <v>105</v>
      </c>
      <c r="B23" s="62" t="s">
        <v>100</v>
      </c>
      <c r="C23" s="62" t="s">
        <v>126</v>
      </c>
      <c r="D23" s="67">
        <v>88</v>
      </c>
      <c r="E23" s="68">
        <v>2850.9569999999999</v>
      </c>
      <c r="F23" s="67">
        <v>115</v>
      </c>
      <c r="G23" s="68">
        <v>3309.9</v>
      </c>
      <c r="H23" s="67">
        <v>115</v>
      </c>
      <c r="I23" s="68">
        <v>3848.34</v>
      </c>
      <c r="J23" s="67">
        <v>115</v>
      </c>
      <c r="K23" s="68">
        <v>3853.45</v>
      </c>
      <c r="L23" s="67">
        <v>115</v>
      </c>
      <c r="M23" s="68">
        <v>3858.68</v>
      </c>
    </row>
    <row r="24" spans="1:13" ht="36.75" customHeight="1" x14ac:dyDescent="0.25">
      <c r="A24" s="66" t="s">
        <v>106</v>
      </c>
      <c r="B24" s="62" t="s">
        <v>69</v>
      </c>
      <c r="C24" s="62" t="s">
        <v>125</v>
      </c>
      <c r="D24" s="67">
        <v>19882</v>
      </c>
      <c r="E24" s="68">
        <v>1330.4459999999999</v>
      </c>
      <c r="F24" s="67">
        <v>8500</v>
      </c>
      <c r="G24" s="68">
        <v>1544.62</v>
      </c>
      <c r="H24" s="67">
        <v>13000</v>
      </c>
      <c r="I24" s="68">
        <v>1795.89</v>
      </c>
      <c r="J24" s="67">
        <v>13000</v>
      </c>
      <c r="K24" s="68">
        <v>1798.28</v>
      </c>
      <c r="L24" s="67">
        <v>13000</v>
      </c>
      <c r="M24" s="68">
        <v>1800.72</v>
      </c>
    </row>
    <row r="25" spans="1:13" ht="34.5" customHeight="1" x14ac:dyDescent="0.25">
      <c r="A25" s="66" t="s">
        <v>107</v>
      </c>
      <c r="B25" s="62" t="s">
        <v>69</v>
      </c>
      <c r="C25" s="62" t="s">
        <v>126</v>
      </c>
      <c r="D25" s="67">
        <v>23422</v>
      </c>
      <c r="E25" s="68">
        <v>3421.1489999999999</v>
      </c>
      <c r="F25" s="67">
        <v>30000</v>
      </c>
      <c r="G25" s="68">
        <v>3971.88</v>
      </c>
      <c r="H25" s="67">
        <v>30000</v>
      </c>
      <c r="I25" s="68">
        <v>4618.01</v>
      </c>
      <c r="J25" s="67">
        <v>30000</v>
      </c>
      <c r="K25" s="68">
        <v>4624.1400000000003</v>
      </c>
      <c r="L25" s="67">
        <v>30000</v>
      </c>
      <c r="M25" s="68">
        <v>4630.3999999999996</v>
      </c>
    </row>
    <row r="26" spans="1:13" ht="40.5" customHeight="1" x14ac:dyDescent="0.25">
      <c r="A26" s="66" t="s">
        <v>108</v>
      </c>
      <c r="B26" s="62" t="s">
        <v>98</v>
      </c>
      <c r="C26" s="62" t="s">
        <v>127</v>
      </c>
      <c r="D26" s="67">
        <v>3917</v>
      </c>
      <c r="E26" s="68">
        <v>2522.4160000000002</v>
      </c>
      <c r="F26" s="67">
        <v>3850</v>
      </c>
      <c r="G26" s="68">
        <v>2535.46</v>
      </c>
      <c r="H26" s="67">
        <v>3850</v>
      </c>
      <c r="I26" s="68">
        <v>3826.65</v>
      </c>
      <c r="J26" s="67">
        <v>3850</v>
      </c>
      <c r="K26" s="68">
        <v>3860.56</v>
      </c>
      <c r="L26" s="67">
        <v>3850</v>
      </c>
      <c r="M26" s="68">
        <v>3895.21</v>
      </c>
    </row>
    <row r="27" spans="1:13" ht="35.25" customHeight="1" x14ac:dyDescent="0.25">
      <c r="A27" s="66" t="s">
        <v>109</v>
      </c>
      <c r="B27" s="62" t="s">
        <v>98</v>
      </c>
      <c r="C27" s="62" t="s">
        <v>128</v>
      </c>
      <c r="D27" s="67">
        <v>16978</v>
      </c>
      <c r="E27" s="68">
        <v>535.05799999999999</v>
      </c>
      <c r="F27" s="67">
        <v>16886</v>
      </c>
      <c r="G27" s="68">
        <v>537.82000000000005</v>
      </c>
      <c r="H27" s="67">
        <v>17056</v>
      </c>
      <c r="I27" s="68">
        <v>811.71</v>
      </c>
      <c r="J27" s="67">
        <v>17226</v>
      </c>
      <c r="K27" s="68">
        <v>818.91</v>
      </c>
      <c r="L27" s="67">
        <v>17226</v>
      </c>
      <c r="M27" s="68">
        <v>826.26</v>
      </c>
    </row>
    <row r="28" spans="1:13" ht="27.75" customHeight="1" x14ac:dyDescent="0.25">
      <c r="A28" s="66" t="s">
        <v>110</v>
      </c>
      <c r="B28" s="62" t="s">
        <v>98</v>
      </c>
      <c r="C28" s="62" t="s">
        <v>129</v>
      </c>
      <c r="D28" s="67">
        <v>402</v>
      </c>
      <c r="E28" s="68">
        <v>764.36800000000005</v>
      </c>
      <c r="F28" s="67">
        <v>170</v>
      </c>
      <c r="G28" s="68">
        <v>768.32</v>
      </c>
      <c r="H28" s="67">
        <v>170</v>
      </c>
      <c r="I28" s="68">
        <v>1159.5999999999999</v>
      </c>
      <c r="J28" s="67">
        <v>170</v>
      </c>
      <c r="K28" s="68">
        <v>1169.8699999999999</v>
      </c>
      <c r="L28" s="67">
        <v>170</v>
      </c>
      <c r="M28" s="68">
        <v>1180.3599999999999</v>
      </c>
    </row>
    <row r="29" spans="1:13" ht="40.5" customHeight="1" x14ac:dyDescent="0.25">
      <c r="A29" s="66" t="s">
        <v>41</v>
      </c>
      <c r="B29" s="62" t="s">
        <v>98</v>
      </c>
      <c r="C29" s="62" t="s">
        <v>130</v>
      </c>
      <c r="D29" s="67">
        <v>9</v>
      </c>
      <c r="E29" s="68">
        <v>3171.4250000000002</v>
      </c>
      <c r="F29" s="67">
        <v>46</v>
      </c>
      <c r="G29" s="68">
        <v>3394.63</v>
      </c>
      <c r="H29" s="67">
        <v>46</v>
      </c>
      <c r="I29" s="68">
        <v>3604.12</v>
      </c>
      <c r="J29" s="67">
        <v>46</v>
      </c>
      <c r="K29" s="68">
        <v>3615.3</v>
      </c>
      <c r="L29" s="67">
        <v>46</v>
      </c>
      <c r="M29" s="68">
        <v>3626.73</v>
      </c>
    </row>
    <row r="30" spans="1:13" ht="40.5" customHeight="1" x14ac:dyDescent="0.25">
      <c r="A30" s="66" t="s">
        <v>111</v>
      </c>
      <c r="B30" s="62" t="s">
        <v>98</v>
      </c>
      <c r="C30" s="62" t="s">
        <v>131</v>
      </c>
      <c r="D30" s="67">
        <v>9</v>
      </c>
      <c r="E30" s="68">
        <v>3171.4250000000002</v>
      </c>
      <c r="F30" s="67">
        <v>9</v>
      </c>
      <c r="G30" s="68">
        <v>3394.63</v>
      </c>
      <c r="H30" s="67">
        <v>9</v>
      </c>
      <c r="I30" s="68">
        <v>3604.12</v>
      </c>
      <c r="J30" s="67">
        <v>9</v>
      </c>
      <c r="K30" s="68">
        <v>3615.3</v>
      </c>
      <c r="L30" s="67">
        <v>9</v>
      </c>
      <c r="M30" s="68">
        <v>3626.73</v>
      </c>
    </row>
    <row r="31" spans="1:13" x14ac:dyDescent="0.25">
      <c r="A31" s="71" t="s">
        <v>80</v>
      </c>
      <c r="B31" s="62"/>
      <c r="C31" s="62" t="s">
        <v>46</v>
      </c>
      <c r="D31" s="62" t="s">
        <v>46</v>
      </c>
      <c r="E31" s="68">
        <f>SUM(E12:E30)</f>
        <v>97772.443000000014</v>
      </c>
      <c r="F31" s="62" t="s">
        <v>46</v>
      </c>
      <c r="G31" s="68">
        <f>SUM(G12:G30)</f>
        <v>107209.89000000003</v>
      </c>
      <c r="H31" s="62" t="s">
        <v>46</v>
      </c>
      <c r="I31" s="68">
        <f>SUM(I12:I30)</f>
        <v>147531.56999999998</v>
      </c>
      <c r="J31" s="62" t="s">
        <v>46</v>
      </c>
      <c r="K31" s="68">
        <f>SUM(K12:K30)</f>
        <v>147340.40999999997</v>
      </c>
      <c r="L31" s="62" t="s">
        <v>46</v>
      </c>
      <c r="M31" s="68">
        <f>SUM(M12:M30)</f>
        <v>147853.49</v>
      </c>
    </row>
    <row r="32" spans="1:13" x14ac:dyDescent="0.25">
      <c r="A32" s="51" t="s">
        <v>112</v>
      </c>
    </row>
    <row r="33" spans="1:13" x14ac:dyDescent="0.25">
      <c r="A33" s="73" t="s">
        <v>132</v>
      </c>
      <c r="B33" s="73"/>
      <c r="C33" s="73"/>
      <c r="D33" s="73"/>
      <c r="E33" s="49"/>
      <c r="F33" s="49"/>
      <c r="G33" s="49"/>
      <c r="H33" s="49"/>
      <c r="I33" s="49"/>
      <c r="J33" s="49"/>
      <c r="K33" s="49"/>
      <c r="L33" s="49"/>
      <c r="M33" s="49"/>
    </row>
    <row r="34" spans="1:13" x14ac:dyDescent="0.25">
      <c r="A34" s="77" t="s">
        <v>133</v>
      </c>
      <c r="B34" s="77"/>
      <c r="C34" s="77"/>
      <c r="D34" s="49"/>
      <c r="E34" s="49"/>
      <c r="F34" s="49"/>
      <c r="G34" s="49"/>
      <c r="H34" s="49"/>
      <c r="I34" s="49"/>
      <c r="J34" s="49"/>
      <c r="K34" s="49"/>
      <c r="L34" s="49"/>
      <c r="M34" s="49"/>
    </row>
    <row r="35" spans="1:13" x14ac:dyDescent="0.25">
      <c r="A35" s="72"/>
      <c r="B35" s="72"/>
      <c r="C35" s="72"/>
      <c r="D35" s="49"/>
      <c r="E35" s="49"/>
      <c r="F35" s="49"/>
      <c r="G35" s="49"/>
      <c r="H35" s="49"/>
      <c r="I35" s="49"/>
      <c r="J35" s="49"/>
      <c r="K35" s="49"/>
      <c r="L35" s="49"/>
      <c r="M35" s="49"/>
    </row>
    <row r="36" spans="1:13" x14ac:dyDescent="0.25">
      <c r="A36" s="52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</row>
    <row r="37" spans="1:13" ht="39.75" customHeight="1" x14ac:dyDescent="0.25">
      <c r="A37" s="73" t="s">
        <v>134</v>
      </c>
      <c r="B37" s="73"/>
      <c r="C37" s="73"/>
      <c r="D37" s="73"/>
      <c r="E37" s="73"/>
      <c r="F37" s="73"/>
      <c r="G37" s="49"/>
      <c r="H37" s="49"/>
      <c r="I37" s="49"/>
      <c r="J37" s="49"/>
      <c r="K37" s="49"/>
      <c r="L37" s="49"/>
      <c r="M37" s="49"/>
    </row>
    <row r="38" spans="1:13" ht="36" customHeight="1" x14ac:dyDescent="0.25">
      <c r="A38" s="73" t="s">
        <v>135</v>
      </c>
      <c r="B38" s="73"/>
      <c r="C38" s="73"/>
      <c r="D38" s="73"/>
      <c r="E38" s="73"/>
      <c r="F38" s="73"/>
      <c r="G38" s="49"/>
      <c r="H38" s="49"/>
      <c r="I38" s="49"/>
      <c r="J38" s="49"/>
      <c r="K38" s="49"/>
      <c r="L38" s="49"/>
      <c r="M38" s="49"/>
    </row>
    <row r="39" spans="1:13" ht="36.75" customHeight="1" x14ac:dyDescent="0.25">
      <c r="A39" s="51" t="s">
        <v>85</v>
      </c>
    </row>
    <row r="40" spans="1:13" ht="57.75" customHeight="1" x14ac:dyDescent="0.25">
      <c r="A40" s="50"/>
    </row>
    <row r="41" spans="1:13" ht="57.75" customHeight="1" x14ac:dyDescent="0.25"/>
  </sheetData>
  <mergeCells count="18">
    <mergeCell ref="A33:D33"/>
    <mergeCell ref="A34:C34"/>
    <mergeCell ref="A37:F37"/>
    <mergeCell ref="A38:F38"/>
    <mergeCell ref="I1:M1"/>
    <mergeCell ref="R1:V1"/>
    <mergeCell ref="A3:M3"/>
    <mergeCell ref="A4:M4"/>
    <mergeCell ref="A6:A10"/>
    <mergeCell ref="B6:B10"/>
    <mergeCell ref="C6:C10"/>
    <mergeCell ref="D6:E10"/>
    <mergeCell ref="F6:M6"/>
    <mergeCell ref="F7:G10"/>
    <mergeCell ref="H7:M7"/>
    <mergeCell ref="H8:I10"/>
    <mergeCell ref="J8:K10"/>
    <mergeCell ref="L8:M10"/>
  </mergeCells>
  <hyperlinks>
    <hyperlink ref="A15" r:id="rId1" display="https://bus.gov.ru/public/agency/agency_work_info.html?work=500681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workbookViewId="0">
      <selection sqref="A1:XFD1048576"/>
    </sheetView>
  </sheetViews>
  <sheetFormatPr defaultRowHeight="15" x14ac:dyDescent="0.25"/>
  <cols>
    <col min="1" max="1" width="41.42578125" customWidth="1"/>
    <col min="2" max="2" width="9.7109375" customWidth="1"/>
    <col min="3" max="3" width="14.7109375" customWidth="1"/>
    <col min="4" max="13" width="11.7109375" style="49" customWidth="1"/>
    <col min="15" max="15" width="14.85546875" customWidth="1"/>
    <col min="17" max="17" width="14.140625" customWidth="1"/>
    <col min="18" max="18" width="14" customWidth="1"/>
  </cols>
  <sheetData>
    <row r="1" spans="1:18" s="33" customFormat="1" x14ac:dyDescent="0.25">
      <c r="A1" s="32"/>
      <c r="D1" s="58"/>
      <c r="I1" s="59" t="s">
        <v>52</v>
      </c>
      <c r="J1" s="59"/>
      <c r="K1" s="59"/>
      <c r="L1" s="59"/>
      <c r="M1" s="59"/>
      <c r="O1" s="34"/>
    </row>
    <row r="2" spans="1:18" s="33" customFormat="1" x14ac:dyDescent="0.25">
      <c r="A2" s="35"/>
      <c r="D2" s="58"/>
      <c r="I2" s="59" t="s">
        <v>53</v>
      </c>
      <c r="J2" s="59"/>
      <c r="K2" s="59"/>
      <c r="L2" s="59"/>
      <c r="M2" s="59"/>
      <c r="O2" s="34"/>
    </row>
    <row r="3" spans="1:18" s="33" customFormat="1" x14ac:dyDescent="0.25">
      <c r="A3" s="35"/>
      <c r="D3" s="58"/>
      <c r="I3" s="59" t="s">
        <v>54</v>
      </c>
      <c r="J3" s="59"/>
      <c r="K3" s="59"/>
      <c r="L3" s="59"/>
      <c r="M3" s="59"/>
      <c r="O3" s="34"/>
    </row>
    <row r="4" spans="1:18" s="33" customFormat="1" x14ac:dyDescent="0.25">
      <c r="A4" s="32"/>
      <c r="D4" s="58"/>
      <c r="I4" s="59" t="s">
        <v>55</v>
      </c>
      <c r="J4" s="59"/>
      <c r="K4" s="59"/>
      <c r="L4" s="59"/>
      <c r="M4" s="59"/>
      <c r="O4" s="34"/>
    </row>
    <row r="5" spans="1:18" s="33" customFormat="1" x14ac:dyDescent="0.25">
      <c r="A5" s="34"/>
      <c r="D5" s="58"/>
      <c r="I5" s="59" t="s">
        <v>56</v>
      </c>
      <c r="J5" s="59"/>
      <c r="K5" s="59"/>
      <c r="L5" s="59"/>
      <c r="M5" s="59"/>
      <c r="O5" s="34"/>
    </row>
    <row r="6" spans="1:18" s="33" customFormat="1" x14ac:dyDescent="0.25">
      <c r="A6" s="35"/>
      <c r="D6" s="58"/>
      <c r="I6" s="59" t="s">
        <v>57</v>
      </c>
      <c r="J6" s="59"/>
      <c r="K6" s="59"/>
      <c r="L6" s="59"/>
      <c r="M6" s="59"/>
    </row>
    <row r="7" spans="1:18" ht="17.25" x14ac:dyDescent="0.3">
      <c r="A7" s="53"/>
    </row>
    <row r="8" spans="1:18" ht="17.25" x14ac:dyDescent="0.3">
      <c r="A8" s="80" t="s">
        <v>58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</row>
    <row r="9" spans="1:18" ht="16.5" x14ac:dyDescent="0.25">
      <c r="A9" s="81" t="s">
        <v>59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</row>
    <row r="10" spans="1:18" x14ac:dyDescent="0.25">
      <c r="A10" s="36"/>
    </row>
    <row r="11" spans="1:18" ht="26.25" customHeight="1" x14ac:dyDescent="0.25">
      <c r="A11" s="82" t="s">
        <v>60</v>
      </c>
      <c r="B11" s="76" t="s">
        <v>14</v>
      </c>
      <c r="C11" s="76" t="s">
        <v>61</v>
      </c>
      <c r="D11" s="76" t="s">
        <v>62</v>
      </c>
      <c r="E11" s="76"/>
      <c r="F11" s="76" t="s">
        <v>63</v>
      </c>
      <c r="G11" s="76"/>
      <c r="H11" s="76"/>
      <c r="I11" s="76"/>
      <c r="J11" s="76"/>
      <c r="K11" s="76"/>
      <c r="L11" s="76"/>
      <c r="M11" s="76"/>
    </row>
    <row r="12" spans="1:18" ht="16.5" customHeight="1" x14ac:dyDescent="0.25">
      <c r="A12" s="82"/>
      <c r="B12" s="76"/>
      <c r="C12" s="76"/>
      <c r="D12" s="76"/>
      <c r="E12" s="76"/>
      <c r="F12" s="76" t="s">
        <v>64</v>
      </c>
      <c r="G12" s="76"/>
      <c r="H12" s="76" t="s">
        <v>19</v>
      </c>
      <c r="I12" s="76"/>
      <c r="J12" s="76"/>
      <c r="K12" s="76"/>
      <c r="L12" s="76"/>
      <c r="M12" s="76"/>
    </row>
    <row r="13" spans="1:18" ht="39.75" customHeight="1" x14ac:dyDescent="0.25">
      <c r="A13" s="82"/>
      <c r="B13" s="76"/>
      <c r="C13" s="76"/>
      <c r="D13" s="76"/>
      <c r="E13" s="76"/>
      <c r="F13" s="76"/>
      <c r="G13" s="76"/>
      <c r="H13" s="76" t="s">
        <v>65</v>
      </c>
      <c r="I13" s="76"/>
      <c r="J13" s="76" t="s">
        <v>66</v>
      </c>
      <c r="K13" s="76"/>
      <c r="L13" s="76" t="s">
        <v>22</v>
      </c>
      <c r="M13" s="76"/>
    </row>
    <row r="14" spans="1:18" ht="27.75" customHeight="1" x14ac:dyDescent="0.25">
      <c r="A14" s="37"/>
      <c r="B14" s="60"/>
      <c r="C14" s="60"/>
      <c r="D14" s="61" t="s">
        <v>67</v>
      </c>
      <c r="E14" s="61" t="s">
        <v>24</v>
      </c>
      <c r="F14" s="61" t="s">
        <v>67</v>
      </c>
      <c r="G14" s="61" t="s">
        <v>24</v>
      </c>
      <c r="H14" s="61" t="s">
        <v>67</v>
      </c>
      <c r="I14" s="61" t="s">
        <v>24</v>
      </c>
      <c r="J14" s="61" t="s">
        <v>67</v>
      </c>
      <c r="K14" s="61" t="s">
        <v>24</v>
      </c>
      <c r="L14" s="61" t="s">
        <v>67</v>
      </c>
      <c r="M14" s="61" t="s">
        <v>24</v>
      </c>
    </row>
    <row r="15" spans="1:18" ht="54.75" customHeight="1" x14ac:dyDescent="0.25">
      <c r="A15" s="54" t="s">
        <v>68</v>
      </c>
      <c r="B15" s="38" t="s">
        <v>69</v>
      </c>
      <c r="C15" s="62" t="s">
        <v>113</v>
      </c>
      <c r="D15" s="38">
        <v>842</v>
      </c>
      <c r="E15" s="39">
        <f>71765976.71/1000</f>
        <v>71765.976709999988</v>
      </c>
      <c r="F15" s="38">
        <v>859</v>
      </c>
      <c r="G15" s="39">
        <v>72471.11</v>
      </c>
      <c r="H15" s="38">
        <v>902</v>
      </c>
      <c r="I15" s="39">
        <f>153719965.91/1000-4544</f>
        <v>149175.96591</v>
      </c>
      <c r="J15" s="38">
        <v>908</v>
      </c>
      <c r="K15" s="39">
        <f>154742.5-4544</f>
        <v>150198.5</v>
      </c>
      <c r="L15" s="38">
        <v>908</v>
      </c>
      <c r="M15" s="39">
        <f>154742.5-4544</f>
        <v>150198.5</v>
      </c>
      <c r="Q15" s="40"/>
    </row>
    <row r="16" spans="1:18" ht="56.25" customHeight="1" x14ac:dyDescent="0.25">
      <c r="A16" s="54" t="s">
        <v>70</v>
      </c>
      <c r="B16" s="38" t="s">
        <v>69</v>
      </c>
      <c r="C16" s="62" t="s">
        <v>113</v>
      </c>
      <c r="D16" s="38">
        <v>90</v>
      </c>
      <c r="E16" s="39">
        <f>3350417/1000</f>
        <v>3350.4169999999999</v>
      </c>
      <c r="F16" s="38">
        <v>65</v>
      </c>
      <c r="G16" s="39">
        <v>2419.75</v>
      </c>
      <c r="H16" s="38">
        <v>95</v>
      </c>
      <c r="I16" s="39">
        <f>25291130.2/1000</f>
        <v>25291.1302</v>
      </c>
      <c r="J16" s="38">
        <v>145</v>
      </c>
      <c r="K16" s="39">
        <f>24268602.72/1000</f>
        <v>24268.602719999999</v>
      </c>
      <c r="L16" s="38">
        <v>145</v>
      </c>
      <c r="M16" s="39">
        <f>24268602.72/1000</f>
        <v>24268.602719999999</v>
      </c>
      <c r="Q16" s="40"/>
      <c r="R16" s="40"/>
    </row>
    <row r="17" spans="1:18" ht="57" customHeight="1" x14ac:dyDescent="0.25">
      <c r="A17" s="54" t="s">
        <v>71</v>
      </c>
      <c r="B17" s="38" t="s">
        <v>72</v>
      </c>
      <c r="C17" s="62" t="s">
        <v>113</v>
      </c>
      <c r="D17" s="38">
        <v>61</v>
      </c>
      <c r="E17" s="39">
        <f>1158602.8/1000</f>
        <v>1158.6028000000001</v>
      </c>
      <c r="F17" s="38">
        <v>25</v>
      </c>
      <c r="G17" s="39">
        <f>1339165.08/1000</f>
        <v>1339.16508</v>
      </c>
      <c r="H17" s="38">
        <v>26</v>
      </c>
      <c r="I17" s="39">
        <f>3452331.48/1000</f>
        <v>3452.3314799999998</v>
      </c>
      <c r="J17" s="38">
        <v>26</v>
      </c>
      <c r="K17" s="39">
        <f>3452331.48/1000</f>
        <v>3452.3314799999998</v>
      </c>
      <c r="L17" s="38">
        <v>26</v>
      </c>
      <c r="M17" s="39">
        <f>3452331.48/1000</f>
        <v>3452.3314799999998</v>
      </c>
      <c r="Q17" s="40"/>
      <c r="R17" s="40"/>
    </row>
    <row r="18" spans="1:18" ht="65.25" customHeight="1" x14ac:dyDescent="0.25">
      <c r="A18" s="54" t="s">
        <v>73</v>
      </c>
      <c r="B18" s="38" t="s">
        <v>69</v>
      </c>
      <c r="C18" s="62" t="s">
        <v>113</v>
      </c>
      <c r="D18" s="38">
        <v>88</v>
      </c>
      <c r="E18" s="39">
        <f>354280.45/1000</f>
        <v>354.28045000000003</v>
      </c>
      <c r="F18" s="38">
        <v>200</v>
      </c>
      <c r="G18" s="39">
        <f>805182.84/1000</f>
        <v>805.18283999999994</v>
      </c>
      <c r="H18" s="38">
        <v>250</v>
      </c>
      <c r="I18" s="39">
        <f>2494879.4/1000</f>
        <v>2494.8793999999998</v>
      </c>
      <c r="J18" s="38">
        <v>250</v>
      </c>
      <c r="K18" s="39">
        <f>2494879.4/1000</f>
        <v>2494.8793999999998</v>
      </c>
      <c r="L18" s="38">
        <v>250</v>
      </c>
      <c r="M18" s="39">
        <f>2494879.4/1000</f>
        <v>2494.8793999999998</v>
      </c>
      <c r="Q18" s="40"/>
      <c r="R18" s="40"/>
    </row>
    <row r="19" spans="1:18" ht="54" customHeight="1" x14ac:dyDescent="0.25">
      <c r="A19" s="54" t="s">
        <v>74</v>
      </c>
      <c r="B19" s="38" t="s">
        <v>69</v>
      </c>
      <c r="C19" s="62" t="s">
        <v>113</v>
      </c>
      <c r="D19" s="38">
        <v>247</v>
      </c>
      <c r="E19" s="39">
        <f>1603797.15/1000</f>
        <v>1603.7971499999999</v>
      </c>
      <c r="F19" s="38">
        <v>329</v>
      </c>
      <c r="G19" s="39">
        <f>2136231.83/1000</f>
        <v>2136.2318300000002</v>
      </c>
      <c r="H19" s="38">
        <v>286</v>
      </c>
      <c r="I19" s="39">
        <f>5295334.69/1000</f>
        <v>5295.3346900000006</v>
      </c>
      <c r="J19" s="38">
        <v>286</v>
      </c>
      <c r="K19" s="39">
        <f>5295334.69/1000</f>
        <v>5295.3346900000006</v>
      </c>
      <c r="L19" s="38">
        <v>286</v>
      </c>
      <c r="M19" s="39">
        <f>5295334.69/1000</f>
        <v>5295.3346900000006</v>
      </c>
      <c r="Q19" s="40"/>
      <c r="R19" s="40"/>
    </row>
    <row r="20" spans="1:18" ht="54" customHeight="1" x14ac:dyDescent="0.25">
      <c r="A20" s="54" t="s">
        <v>41</v>
      </c>
      <c r="B20" s="38" t="s">
        <v>72</v>
      </c>
      <c r="C20" s="62" t="s">
        <v>114</v>
      </c>
      <c r="D20" s="38">
        <v>93</v>
      </c>
      <c r="E20" s="39">
        <f>2712190.66/1000</f>
        <v>2712.1906600000002</v>
      </c>
      <c r="F20" s="38">
        <v>186</v>
      </c>
      <c r="G20" s="39">
        <f>2079444.26/1000</f>
        <v>2079.4442600000002</v>
      </c>
      <c r="H20" s="38">
        <v>186</v>
      </c>
      <c r="I20" s="39">
        <f>3392088.27/1000-300</f>
        <v>3092.0882700000002</v>
      </c>
      <c r="J20" s="38">
        <v>186</v>
      </c>
      <c r="K20" s="39">
        <v>3092.0882700000002</v>
      </c>
      <c r="L20" s="38">
        <v>186</v>
      </c>
      <c r="M20" s="39">
        <v>3092.0882700000002</v>
      </c>
      <c r="Q20" s="41"/>
      <c r="R20" s="40"/>
    </row>
    <row r="21" spans="1:18" ht="34.5" customHeight="1" x14ac:dyDescent="0.25">
      <c r="A21" s="54" t="s">
        <v>42</v>
      </c>
      <c r="B21" s="38" t="s">
        <v>72</v>
      </c>
      <c r="C21" s="62" t="s">
        <v>114</v>
      </c>
      <c r="D21" s="38">
        <v>93</v>
      </c>
      <c r="E21" s="39">
        <f>2341723.29/1000</f>
        <v>2341.7232899999999</v>
      </c>
      <c r="F21" s="38">
        <v>200</v>
      </c>
      <c r="G21" s="39">
        <f>2235961.58/1000</f>
        <v>2235.9615800000001</v>
      </c>
      <c r="H21" s="38">
        <v>200</v>
      </c>
      <c r="I21" s="39">
        <f>3647406.74/1000-390</f>
        <v>3257.4067400000004</v>
      </c>
      <c r="J21" s="38">
        <v>200</v>
      </c>
      <c r="K21" s="39">
        <v>3257.4067400000004</v>
      </c>
      <c r="L21" s="38">
        <v>200</v>
      </c>
      <c r="M21" s="39">
        <v>3257.4067400000004</v>
      </c>
      <c r="Q21" s="42"/>
    </row>
    <row r="22" spans="1:18" ht="77.25" customHeight="1" x14ac:dyDescent="0.25">
      <c r="A22" s="43" t="s">
        <v>75</v>
      </c>
      <c r="B22" s="38" t="s">
        <v>72</v>
      </c>
      <c r="C22" s="62" t="s">
        <v>115</v>
      </c>
      <c r="D22" s="38">
        <v>2</v>
      </c>
      <c r="E22" s="39">
        <f>333535.28/1000</f>
        <v>333.53528</v>
      </c>
      <c r="F22" s="38">
        <v>5</v>
      </c>
      <c r="G22" s="39">
        <f>513100.67/1000</f>
        <v>513.10067000000004</v>
      </c>
      <c r="H22" s="38">
        <v>5</v>
      </c>
      <c r="I22" s="39">
        <f>706824.51/1000</f>
        <v>706.82451000000003</v>
      </c>
      <c r="J22" s="38">
        <v>5</v>
      </c>
      <c r="K22" s="39">
        <f>706824.51/1000</f>
        <v>706.82451000000003</v>
      </c>
      <c r="L22" s="38">
        <v>5</v>
      </c>
      <c r="M22" s="39">
        <f>706824.51/1000</f>
        <v>706.82451000000003</v>
      </c>
    </row>
    <row r="23" spans="1:18" ht="27" customHeight="1" x14ac:dyDescent="0.25">
      <c r="A23" s="43" t="s">
        <v>76</v>
      </c>
      <c r="B23" s="38" t="s">
        <v>72</v>
      </c>
      <c r="C23" s="62" t="s">
        <v>115</v>
      </c>
      <c r="D23" s="38">
        <v>38</v>
      </c>
      <c r="E23" s="39">
        <f>6337170.4/1000</f>
        <v>6337.1704</v>
      </c>
      <c r="F23" s="38">
        <v>46</v>
      </c>
      <c r="G23" s="39">
        <f>4720526.14/1000</f>
        <v>4720.5261399999999</v>
      </c>
      <c r="H23" s="38">
        <v>46</v>
      </c>
      <c r="I23" s="39">
        <f>6502785.54/1000-352</f>
        <v>6150.7855399999999</v>
      </c>
      <c r="J23" s="38">
        <v>46</v>
      </c>
      <c r="K23" s="39">
        <f>6502785.54/1000-352</f>
        <v>6150.7855399999999</v>
      </c>
      <c r="L23" s="38">
        <v>46</v>
      </c>
      <c r="M23" s="39">
        <f>6502785.54/1000-352</f>
        <v>6150.7855399999999</v>
      </c>
    </row>
    <row r="24" spans="1:18" ht="93.75" customHeight="1" x14ac:dyDescent="0.25">
      <c r="A24" s="43" t="s">
        <v>77</v>
      </c>
      <c r="B24" s="38" t="s">
        <v>72</v>
      </c>
      <c r="C24" s="62" t="s">
        <v>115</v>
      </c>
      <c r="D24" s="38">
        <v>12</v>
      </c>
      <c r="E24" s="39">
        <f>2001211.7/1000</f>
        <v>2001.2117000000001</v>
      </c>
      <c r="F24" s="38">
        <v>13</v>
      </c>
      <c r="G24" s="39">
        <f>1334061.74/1000</f>
        <v>1334.0617400000001</v>
      </c>
      <c r="H24" s="38">
        <v>13</v>
      </c>
      <c r="I24" s="39">
        <f>1837743.74/1000</f>
        <v>1837.7437399999999</v>
      </c>
      <c r="J24" s="38">
        <v>13</v>
      </c>
      <c r="K24" s="39">
        <f>1837743.74/1000</f>
        <v>1837.7437399999999</v>
      </c>
      <c r="L24" s="38">
        <v>13</v>
      </c>
      <c r="M24" s="39">
        <f>1837743.74/1000</f>
        <v>1837.7437399999999</v>
      </c>
    </row>
    <row r="25" spans="1:18" ht="78.75" customHeight="1" x14ac:dyDescent="0.25">
      <c r="A25" s="43" t="s">
        <v>78</v>
      </c>
      <c r="B25" s="38" t="s">
        <v>72</v>
      </c>
      <c r="C25" s="62" t="s">
        <v>115</v>
      </c>
      <c r="D25" s="38">
        <v>7</v>
      </c>
      <c r="E25" s="39">
        <f>1167373.49/1000</f>
        <v>1167.3734899999999</v>
      </c>
      <c r="F25" s="38">
        <v>6</v>
      </c>
      <c r="G25" s="39">
        <f>615720.8/1000</f>
        <v>615.72080000000005</v>
      </c>
      <c r="H25" s="38">
        <v>6</v>
      </c>
      <c r="I25" s="39">
        <f>848189.42/1000</f>
        <v>848.18942000000004</v>
      </c>
      <c r="J25" s="38">
        <v>6</v>
      </c>
      <c r="K25" s="39">
        <f>848189.42/1000</f>
        <v>848.18942000000004</v>
      </c>
      <c r="L25" s="38">
        <v>6</v>
      </c>
      <c r="M25" s="39">
        <f>848189.42/1000</f>
        <v>848.18942000000004</v>
      </c>
    </row>
    <row r="26" spans="1:18" ht="84" customHeight="1" x14ac:dyDescent="0.25">
      <c r="A26" s="43" t="s">
        <v>79</v>
      </c>
      <c r="B26" s="38" t="s">
        <v>72</v>
      </c>
      <c r="C26" s="62" t="s">
        <v>115</v>
      </c>
      <c r="D26" s="38">
        <v>21</v>
      </c>
      <c r="E26" s="39">
        <f>3502120.48/1000</f>
        <v>3502.12048</v>
      </c>
      <c r="F26" s="38">
        <v>28</v>
      </c>
      <c r="G26" s="39">
        <f>2873363.74/1000</f>
        <v>2873.3637400000002</v>
      </c>
      <c r="H26" s="38">
        <v>28</v>
      </c>
      <c r="I26" s="39">
        <f>3958217.28/1000</f>
        <v>3958.2172799999998</v>
      </c>
      <c r="J26" s="38">
        <v>28</v>
      </c>
      <c r="K26" s="39">
        <f>3958217.28/1000</f>
        <v>3958.2172799999998</v>
      </c>
      <c r="L26" s="38">
        <v>28</v>
      </c>
      <c r="M26" s="39">
        <f>3958217.28/1000</f>
        <v>3958.2172799999998</v>
      </c>
    </row>
    <row r="27" spans="1:18" x14ac:dyDescent="0.25">
      <c r="A27" s="44" t="s">
        <v>80</v>
      </c>
      <c r="B27" s="44"/>
      <c r="C27" s="45" t="s">
        <v>46</v>
      </c>
      <c r="D27" s="45" t="s">
        <v>46</v>
      </c>
      <c r="E27" s="46">
        <f>SUM(E15:E26)</f>
        <v>96628.399409999969</v>
      </c>
      <c r="F27" s="45" t="s">
        <v>46</v>
      </c>
      <c r="G27" s="46">
        <f>SUM(G15:G26)</f>
        <v>93543.618680000014</v>
      </c>
      <c r="H27" s="45" t="s">
        <v>46</v>
      </c>
      <c r="I27" s="46">
        <f>SUM(I15:I26)</f>
        <v>205560.89718000003</v>
      </c>
      <c r="J27" s="45" t="s">
        <v>46</v>
      </c>
      <c r="K27" s="46">
        <f>SUM(K15:K26)</f>
        <v>205560.90379000004</v>
      </c>
      <c r="L27" s="45" t="s">
        <v>46</v>
      </c>
      <c r="M27" s="46">
        <f>SUM(M15:M26)</f>
        <v>205560.90379000004</v>
      </c>
    </row>
    <row r="28" spans="1:18" x14ac:dyDescent="0.25">
      <c r="A28" s="36"/>
    </row>
    <row r="29" spans="1:18" x14ac:dyDescent="0.25">
      <c r="A29" s="78" t="s">
        <v>81</v>
      </c>
      <c r="B29" s="78"/>
      <c r="C29" s="78"/>
      <c r="D29" s="78"/>
      <c r="E29" s="78"/>
      <c r="F29" s="78"/>
    </row>
    <row r="30" spans="1:18" x14ac:dyDescent="0.25">
      <c r="A30" s="78" t="s">
        <v>82</v>
      </c>
      <c r="B30" s="78"/>
      <c r="C30" s="78"/>
      <c r="D30" s="78"/>
      <c r="E30" s="78"/>
    </row>
    <row r="31" spans="1:18" x14ac:dyDescent="0.25">
      <c r="A31" s="47"/>
    </row>
    <row r="32" spans="1:18" x14ac:dyDescent="0.25">
      <c r="A32" s="48" t="s">
        <v>83</v>
      </c>
      <c r="B32" s="48"/>
      <c r="C32" s="48"/>
      <c r="D32" s="55"/>
      <c r="E32" s="55"/>
    </row>
    <row r="33" spans="1:6" customFormat="1" x14ac:dyDescent="0.25">
      <c r="A33" s="79" t="s">
        <v>84</v>
      </c>
      <c r="B33" s="79"/>
      <c r="C33" s="79"/>
      <c r="D33" s="79"/>
      <c r="E33" s="79"/>
      <c r="F33" s="79"/>
    </row>
    <row r="34" spans="1:6" customFormat="1" x14ac:dyDescent="0.25">
      <c r="A34" s="36" t="s">
        <v>85</v>
      </c>
      <c r="D34" s="49"/>
      <c r="E34" s="49"/>
      <c r="F34" s="49"/>
    </row>
    <row r="35" spans="1:6" customFormat="1" ht="18" customHeight="1" x14ac:dyDescent="0.25">
      <c r="A35" s="36"/>
      <c r="D35" s="49"/>
      <c r="E35" s="49"/>
      <c r="F35" s="49"/>
    </row>
  </sheetData>
  <mergeCells count="15">
    <mergeCell ref="A29:F29"/>
    <mergeCell ref="A30:E30"/>
    <mergeCell ref="A33:F33"/>
    <mergeCell ref="A8:M8"/>
    <mergeCell ref="A9:M9"/>
    <mergeCell ref="A11:A13"/>
    <mergeCell ref="B11:B13"/>
    <mergeCell ref="C11:C13"/>
    <mergeCell ref="D11:E13"/>
    <mergeCell ref="F11:M11"/>
    <mergeCell ref="F12:G13"/>
    <mergeCell ref="H12:M12"/>
    <mergeCell ref="H13:I13"/>
    <mergeCell ref="J13:K13"/>
    <mergeCell ref="L13:M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3"/>
  <sheetViews>
    <sheetView tabSelected="1" zoomScale="81" zoomScaleNormal="81" workbookViewId="0">
      <selection activeCell="F26" sqref="F26"/>
    </sheetView>
  </sheetViews>
  <sheetFormatPr defaultColWidth="8.85546875" defaultRowHeight="15" x14ac:dyDescent="0.25"/>
  <cols>
    <col min="1" max="1" width="32.28515625" style="10" customWidth="1"/>
    <col min="2" max="2" width="8.7109375" style="10" customWidth="1"/>
    <col min="3" max="3" width="24.5703125" style="10" customWidth="1"/>
    <col min="4" max="4" width="13.7109375" style="10" customWidth="1"/>
    <col min="5" max="5" width="14" style="10" customWidth="1"/>
    <col min="6" max="6" width="13.7109375" style="10" customWidth="1"/>
    <col min="7" max="7" width="16.28515625" style="10" customWidth="1"/>
    <col min="8" max="8" width="13.42578125" style="10" customWidth="1"/>
    <col min="9" max="9" width="16" style="10" customWidth="1"/>
    <col min="10" max="10" width="14.5703125" style="10" customWidth="1"/>
    <col min="11" max="11" width="15.7109375" style="10" customWidth="1"/>
    <col min="12" max="12" width="14" style="10" customWidth="1"/>
    <col min="13" max="13" width="16.28515625" style="10" customWidth="1"/>
    <col min="14" max="14" width="3" style="10" customWidth="1"/>
    <col min="15" max="22" width="8.85546875" style="10" hidden="1" customWidth="1"/>
    <col min="23" max="23" width="0.42578125" style="10" customWidth="1"/>
    <col min="24" max="24" width="16.7109375" style="10" hidden="1" customWidth="1"/>
    <col min="25" max="30" width="8.85546875" style="10" hidden="1" customWidth="1"/>
    <col min="31" max="16384" width="8.85546875" style="10"/>
  </cols>
  <sheetData>
    <row r="1" spans="1:24" ht="27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 t="s">
        <v>1</v>
      </c>
      <c r="L1" s="9"/>
      <c r="M1" s="9"/>
    </row>
    <row r="2" spans="1:24" ht="18.75" x14ac:dyDescent="0.3">
      <c r="A2" s="1" t="s">
        <v>2</v>
      </c>
      <c r="B2" s="2"/>
      <c r="C2" s="2"/>
      <c r="D2" s="9"/>
      <c r="E2" s="9"/>
      <c r="F2" s="9"/>
      <c r="G2" s="9"/>
      <c r="H2" s="9"/>
      <c r="K2" s="9" t="s">
        <v>3</v>
      </c>
      <c r="L2" s="9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4" ht="18.75" x14ac:dyDescent="0.3">
      <c r="A3" s="1" t="s">
        <v>2</v>
      </c>
      <c r="B3" s="2"/>
      <c r="C3" s="2"/>
      <c r="D3" s="9"/>
      <c r="E3" s="9"/>
      <c r="F3" s="9"/>
      <c r="G3" s="9"/>
      <c r="H3" s="9"/>
      <c r="I3" s="9"/>
      <c r="J3" s="11"/>
      <c r="K3" s="9" t="s">
        <v>4</v>
      </c>
      <c r="L3" s="9"/>
      <c r="M3" s="9"/>
      <c r="N3" s="9"/>
      <c r="O3" s="9"/>
      <c r="P3" s="9"/>
      <c r="Q3" s="9"/>
      <c r="R3" s="9"/>
      <c r="S3" s="9"/>
      <c r="T3" s="11"/>
      <c r="U3" s="11"/>
      <c r="V3" s="11"/>
      <c r="W3" s="11"/>
    </row>
    <row r="4" spans="1:24" ht="18.75" x14ac:dyDescent="0.3">
      <c r="A4" s="1" t="s">
        <v>5</v>
      </c>
      <c r="B4" s="2"/>
      <c r="C4" s="2"/>
      <c r="D4" s="9"/>
      <c r="E4" s="9"/>
      <c r="F4" s="9"/>
      <c r="G4" s="9"/>
      <c r="H4" s="9"/>
      <c r="I4" s="9"/>
      <c r="J4" s="11"/>
      <c r="K4" s="9" t="s">
        <v>6</v>
      </c>
      <c r="L4" s="9"/>
      <c r="M4" s="9"/>
      <c r="N4" s="9"/>
      <c r="O4" s="9"/>
      <c r="P4" s="9"/>
      <c r="Q4" s="9"/>
      <c r="R4" s="9"/>
      <c r="S4" s="9"/>
      <c r="T4" s="11"/>
      <c r="U4" s="11"/>
      <c r="V4" s="11"/>
      <c r="W4" s="11"/>
    </row>
    <row r="5" spans="1:24" ht="18.75" x14ac:dyDescent="0.3">
      <c r="A5" s="1" t="s">
        <v>7</v>
      </c>
      <c r="B5" s="2"/>
      <c r="C5" s="2"/>
      <c r="D5" s="9"/>
      <c r="E5" s="9"/>
      <c r="F5" s="9"/>
      <c r="G5" s="56"/>
      <c r="H5" s="9"/>
      <c r="I5" s="9"/>
      <c r="J5" s="11"/>
      <c r="K5" s="56" t="s">
        <v>8</v>
      </c>
      <c r="L5" s="9"/>
      <c r="M5" s="9"/>
      <c r="N5" s="9"/>
      <c r="O5" s="9"/>
      <c r="P5" s="9"/>
      <c r="Q5" s="9"/>
      <c r="R5" s="9"/>
      <c r="S5" s="9"/>
      <c r="T5" s="11"/>
      <c r="U5" s="11"/>
      <c r="V5" s="11"/>
      <c r="W5" s="11"/>
    </row>
    <row r="6" spans="1:24" ht="18.75" x14ac:dyDescent="0.3">
      <c r="A6" s="1" t="s">
        <v>2</v>
      </c>
      <c r="B6" s="2"/>
      <c r="C6" s="2"/>
      <c r="D6" s="9"/>
      <c r="E6" s="9"/>
      <c r="F6" s="9"/>
      <c r="G6" s="9"/>
      <c r="H6" s="9"/>
      <c r="I6" s="9"/>
      <c r="J6" s="11"/>
      <c r="K6" s="9" t="s">
        <v>9</v>
      </c>
      <c r="L6" s="9"/>
      <c r="M6" s="9"/>
      <c r="N6" s="9"/>
      <c r="O6" s="9"/>
      <c r="P6" s="9"/>
      <c r="Q6" s="9"/>
      <c r="R6" s="9"/>
      <c r="S6" s="9"/>
      <c r="T6" s="11"/>
      <c r="U6" s="11"/>
      <c r="V6" s="11"/>
      <c r="W6" s="11"/>
    </row>
    <row r="7" spans="1:24" ht="18.75" x14ac:dyDescent="0.3">
      <c r="A7" s="1"/>
      <c r="B7" s="2"/>
      <c r="C7" s="2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11"/>
      <c r="U7" s="11"/>
      <c r="V7" s="11"/>
      <c r="W7" s="11"/>
    </row>
    <row r="8" spans="1:24" ht="18.75" x14ac:dyDescent="0.3">
      <c r="A8" s="1"/>
      <c r="B8" s="2"/>
      <c r="C8" s="2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9" spans="1:24" ht="18.75" x14ac:dyDescent="0.3">
      <c r="A9" s="1"/>
      <c r="B9" s="2"/>
      <c r="C9" s="2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1:24" ht="18.75" x14ac:dyDescent="0.3">
      <c r="A10" s="1"/>
      <c r="B10" s="2"/>
      <c r="C10" s="2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4" ht="0.6" customHeight="1" x14ac:dyDescent="0.3">
      <c r="A11" s="1"/>
      <c r="B11" s="2"/>
      <c r="C11" s="2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4" ht="21.6" customHeight="1" x14ac:dyDescent="0.3">
      <c r="A12" s="93" t="s">
        <v>10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11"/>
      <c r="O12" s="12"/>
      <c r="P12" s="12"/>
      <c r="Q12" s="12"/>
      <c r="R12" s="12"/>
      <c r="S12" s="12"/>
      <c r="T12" s="12"/>
      <c r="U12" s="12"/>
      <c r="V12" s="12"/>
      <c r="W12" s="12"/>
      <c r="X12" s="12"/>
    </row>
    <row r="13" spans="1:24" ht="18.75" x14ac:dyDescent="0.3">
      <c r="A13" s="93" t="s">
        <v>11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11"/>
      <c r="O13" s="12"/>
      <c r="P13" s="12"/>
      <c r="Q13" s="12"/>
      <c r="R13" s="12"/>
      <c r="S13" s="12"/>
      <c r="T13" s="12"/>
      <c r="U13" s="12"/>
      <c r="V13" s="12"/>
      <c r="W13" s="12"/>
      <c r="X13" s="12"/>
    </row>
    <row r="14" spans="1:24" ht="15.75" thickBot="1" x14ac:dyDescent="0.3">
      <c r="A14" s="94" t="s">
        <v>12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11"/>
    </row>
    <row r="15" spans="1:24" ht="15.75" hidden="1" thickBot="1" x14ac:dyDescent="0.3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</row>
    <row r="16" spans="1:24" ht="16.5" thickBot="1" x14ac:dyDescent="0.3">
      <c r="A16" s="88" t="s">
        <v>13</v>
      </c>
      <c r="B16" s="86" t="s">
        <v>14</v>
      </c>
      <c r="C16" s="86" t="s">
        <v>15</v>
      </c>
      <c r="D16" s="86" t="s">
        <v>16</v>
      </c>
      <c r="E16" s="96"/>
      <c r="F16" s="99" t="s">
        <v>17</v>
      </c>
      <c r="G16" s="100"/>
      <c r="H16" s="100"/>
      <c r="I16" s="100"/>
      <c r="J16" s="100"/>
      <c r="K16" s="100"/>
      <c r="L16" s="100"/>
      <c r="M16" s="101"/>
    </row>
    <row r="17" spans="1:13" ht="20.45" customHeight="1" thickBot="1" x14ac:dyDescent="0.3">
      <c r="A17" s="89"/>
      <c r="B17" s="87"/>
      <c r="C17" s="87"/>
      <c r="D17" s="87"/>
      <c r="E17" s="97"/>
      <c r="F17" s="102" t="s">
        <v>18</v>
      </c>
      <c r="G17" s="103"/>
      <c r="H17" s="99" t="s">
        <v>19</v>
      </c>
      <c r="I17" s="100"/>
      <c r="J17" s="100"/>
      <c r="K17" s="100"/>
      <c r="L17" s="100"/>
      <c r="M17" s="101"/>
    </row>
    <row r="18" spans="1:13" ht="45.6" customHeight="1" thickBot="1" x14ac:dyDescent="0.3">
      <c r="A18" s="89"/>
      <c r="B18" s="87"/>
      <c r="C18" s="87"/>
      <c r="D18" s="91"/>
      <c r="E18" s="98"/>
      <c r="F18" s="104"/>
      <c r="G18" s="105"/>
      <c r="H18" s="83" t="s">
        <v>20</v>
      </c>
      <c r="I18" s="84"/>
      <c r="J18" s="83" t="s">
        <v>21</v>
      </c>
      <c r="K18" s="84"/>
      <c r="L18" s="83" t="s">
        <v>22</v>
      </c>
      <c r="M18" s="85"/>
    </row>
    <row r="19" spans="1:13" ht="15.6" customHeight="1" x14ac:dyDescent="0.25">
      <c r="A19" s="89"/>
      <c r="B19" s="87"/>
      <c r="C19" s="87"/>
      <c r="D19" s="86" t="s">
        <v>23</v>
      </c>
      <c r="E19" s="88" t="s">
        <v>24</v>
      </c>
      <c r="F19" s="86" t="s">
        <v>23</v>
      </c>
      <c r="G19" s="88" t="s">
        <v>24</v>
      </c>
      <c r="H19" s="86" t="s">
        <v>23</v>
      </c>
      <c r="I19" s="88" t="s">
        <v>24</v>
      </c>
      <c r="J19" s="88" t="s">
        <v>23</v>
      </c>
      <c r="K19" s="88" t="s">
        <v>24</v>
      </c>
      <c r="L19" s="86" t="s">
        <v>23</v>
      </c>
      <c r="M19" s="88" t="s">
        <v>24</v>
      </c>
    </row>
    <row r="20" spans="1:13" ht="15.6" customHeight="1" x14ac:dyDescent="0.25">
      <c r="A20" s="89"/>
      <c r="B20" s="87"/>
      <c r="C20" s="87"/>
      <c r="D20" s="87"/>
      <c r="E20" s="89"/>
      <c r="F20" s="87"/>
      <c r="G20" s="89"/>
      <c r="H20" s="87"/>
      <c r="I20" s="89"/>
      <c r="J20" s="89"/>
      <c r="K20" s="89"/>
      <c r="L20" s="87"/>
      <c r="M20" s="89"/>
    </row>
    <row r="21" spans="1:13" ht="15.6" customHeight="1" x14ac:dyDescent="0.25">
      <c r="A21" s="89"/>
      <c r="B21" s="87"/>
      <c r="C21" s="87"/>
      <c r="D21" s="87"/>
      <c r="E21" s="89"/>
      <c r="F21" s="87"/>
      <c r="G21" s="89"/>
      <c r="H21" s="87"/>
      <c r="I21" s="89"/>
      <c r="J21" s="89"/>
      <c r="K21" s="89"/>
      <c r="L21" s="87"/>
      <c r="M21" s="89"/>
    </row>
    <row r="22" spans="1:13" ht="2.25" customHeight="1" thickBot="1" x14ac:dyDescent="0.3">
      <c r="A22" s="90"/>
      <c r="B22" s="91"/>
      <c r="C22" s="87"/>
      <c r="D22" s="87"/>
      <c r="E22" s="90"/>
      <c r="F22" s="87"/>
      <c r="G22" s="90"/>
      <c r="H22" s="91"/>
      <c r="I22" s="90"/>
      <c r="J22" s="90"/>
      <c r="K22" s="90"/>
      <c r="L22" s="91"/>
      <c r="M22" s="90"/>
    </row>
    <row r="23" spans="1:13" ht="27.75" customHeight="1" thickBot="1" x14ac:dyDescent="0.3">
      <c r="A23" s="13" t="s">
        <v>25</v>
      </c>
      <c r="B23" s="3" t="s">
        <v>26</v>
      </c>
      <c r="C23" s="106" t="s">
        <v>136</v>
      </c>
      <c r="D23" s="3">
        <v>2231</v>
      </c>
      <c r="E23" s="4">
        <f>42091128.46/1000</f>
        <v>42091.12846</v>
      </c>
      <c r="F23" s="14">
        <v>2451</v>
      </c>
      <c r="G23" s="8">
        <f>42091128.46/1000</f>
        <v>42091.12846</v>
      </c>
      <c r="H23" s="14">
        <v>2451</v>
      </c>
      <c r="I23" s="4">
        <f>42091128.46/1000</f>
        <v>42091.12846</v>
      </c>
      <c r="J23" s="14">
        <v>2451</v>
      </c>
      <c r="K23" s="4">
        <f>42091128.46/1000</f>
        <v>42091.12846</v>
      </c>
      <c r="L23" s="14">
        <v>2451</v>
      </c>
      <c r="M23" s="4">
        <f>42091128.46/1000</f>
        <v>42091.12846</v>
      </c>
    </row>
    <row r="24" spans="1:13" ht="80.25" customHeight="1" thickBot="1" x14ac:dyDescent="0.3">
      <c r="A24" s="13" t="s">
        <v>27</v>
      </c>
      <c r="B24" s="3" t="s">
        <v>26</v>
      </c>
      <c r="C24" s="106" t="s">
        <v>137</v>
      </c>
      <c r="D24" s="5">
        <v>2231</v>
      </c>
      <c r="E24" s="4">
        <f>((288877067.94/1000)-E23)</f>
        <v>246785.93947999997</v>
      </c>
      <c r="F24" s="14">
        <v>1781</v>
      </c>
      <c r="G24" s="8">
        <f>((329454526.56/1000)-G23)</f>
        <v>287363.39810000005</v>
      </c>
      <c r="H24" s="14">
        <v>1781</v>
      </c>
      <c r="I24" s="4">
        <f>((339858252.18/1000)-I23)</f>
        <v>297767.12372000003</v>
      </c>
      <c r="J24" s="14">
        <v>1781</v>
      </c>
      <c r="K24" s="4">
        <f>((330680181.8/1000)-K23)</f>
        <v>288589.05334000004</v>
      </c>
      <c r="L24" s="14">
        <v>1781</v>
      </c>
      <c r="M24" s="4">
        <f>((330680181.8/1000)-M23)</f>
        <v>288589.05334000004</v>
      </c>
    </row>
    <row r="25" spans="1:13" ht="16.899999999999999" hidden="1" customHeight="1" thickBot="1" x14ac:dyDescent="0.3">
      <c r="A25" s="13" t="s">
        <v>28</v>
      </c>
      <c r="B25" s="3"/>
      <c r="C25" s="106"/>
      <c r="D25" s="15" t="s">
        <v>29</v>
      </c>
      <c r="E25" s="16">
        <f>SUM(E23:E24)</f>
        <v>288877.06793999998</v>
      </c>
      <c r="F25" s="17"/>
      <c r="G25" s="18">
        <f>SUM(G23:G24)</f>
        <v>329454.52656000003</v>
      </c>
      <c r="H25" s="5"/>
      <c r="I25" s="6">
        <f>SUM(I23:I24)</f>
        <v>339858.25218000001</v>
      </c>
      <c r="J25" s="19"/>
      <c r="K25" s="6">
        <f>SUM(K23:K24)</f>
        <v>330680.18180000002</v>
      </c>
      <c r="L25" s="19"/>
      <c r="M25" s="6">
        <f>SUM(M23:M24)</f>
        <v>330680.18180000002</v>
      </c>
    </row>
    <row r="26" spans="1:13" ht="79.5" customHeight="1" thickBot="1" x14ac:dyDescent="0.3">
      <c r="A26" s="13" t="s">
        <v>30</v>
      </c>
      <c r="B26" s="3" t="s">
        <v>26</v>
      </c>
      <c r="C26" s="106" t="s">
        <v>138</v>
      </c>
      <c r="D26" s="5">
        <v>1862</v>
      </c>
      <c r="E26" s="4">
        <f>122670596.94/1000</f>
        <v>122670.59694</v>
      </c>
      <c r="F26" s="14">
        <v>1870</v>
      </c>
      <c r="G26" s="8">
        <f>128517055.17/1000</f>
        <v>128517.05517000001</v>
      </c>
      <c r="H26" s="14">
        <v>1870</v>
      </c>
      <c r="I26" s="4">
        <f>130159260/1000</f>
        <v>130159.26</v>
      </c>
      <c r="J26" s="14">
        <v>1870</v>
      </c>
      <c r="K26" s="4">
        <f>133573688.02/1000</f>
        <v>133573.68802</v>
      </c>
      <c r="L26" s="14">
        <v>1870</v>
      </c>
      <c r="M26" s="4">
        <f>133573688.02/1000</f>
        <v>133573.68802</v>
      </c>
    </row>
    <row r="27" spans="1:13" ht="80.25" customHeight="1" thickBot="1" x14ac:dyDescent="0.3">
      <c r="A27" s="13" t="s">
        <v>31</v>
      </c>
      <c r="B27" s="3" t="s">
        <v>26</v>
      </c>
      <c r="C27" s="106" t="s">
        <v>139</v>
      </c>
      <c r="D27" s="5">
        <v>2034</v>
      </c>
      <c r="E27" s="4">
        <f>130992800.9/1000</f>
        <v>130992.8009</v>
      </c>
      <c r="F27" s="14">
        <v>2032</v>
      </c>
      <c r="G27" s="8">
        <f>138842474.71/1000</f>
        <v>138842.47471000001</v>
      </c>
      <c r="H27" s="14">
        <v>2032</v>
      </c>
      <c r="I27" s="4">
        <f>141435088.94/1000</f>
        <v>141435.08893999999</v>
      </c>
      <c r="J27" s="14">
        <v>2032</v>
      </c>
      <c r="K27" s="4">
        <f>145145312.34/1000</f>
        <v>145145.31234</v>
      </c>
      <c r="L27" s="14">
        <v>2032</v>
      </c>
      <c r="M27" s="4">
        <f>145145312.34/1000</f>
        <v>145145.31234</v>
      </c>
    </row>
    <row r="28" spans="1:13" ht="79.5" customHeight="1" thickBot="1" x14ac:dyDescent="0.3">
      <c r="A28" s="13" t="s">
        <v>32</v>
      </c>
      <c r="B28" s="3" t="s">
        <v>26</v>
      </c>
      <c r="C28" s="106" t="s">
        <v>139</v>
      </c>
      <c r="D28" s="5">
        <v>408</v>
      </c>
      <c r="E28" s="4">
        <f>25752961.85/1000</f>
        <v>25752.96185</v>
      </c>
      <c r="F28" s="14">
        <v>405</v>
      </c>
      <c r="G28" s="8">
        <f>27259107.58/1000</f>
        <v>27259.10758</v>
      </c>
      <c r="H28" s="7">
        <v>405</v>
      </c>
      <c r="I28" s="4">
        <f>28189572.35/1000</f>
        <v>28189.572350000002</v>
      </c>
      <c r="J28" s="14">
        <v>405</v>
      </c>
      <c r="K28" s="4">
        <f>28929060.77/1000</f>
        <v>28929.06077</v>
      </c>
      <c r="L28" s="14">
        <v>405</v>
      </c>
      <c r="M28" s="4">
        <f>28929060.77/1000</f>
        <v>28929.06077</v>
      </c>
    </row>
    <row r="29" spans="1:13" ht="17.45" hidden="1" customHeight="1" thickBot="1" x14ac:dyDescent="0.3">
      <c r="A29" s="13" t="s">
        <v>33</v>
      </c>
      <c r="B29" s="3"/>
      <c r="C29" s="106"/>
      <c r="D29" s="5">
        <f>SUM(D26:D28)</f>
        <v>4304</v>
      </c>
      <c r="E29" s="16">
        <f>SUM(E26:E28)</f>
        <v>279416.35969000001</v>
      </c>
      <c r="F29" s="14">
        <f>SUM(F26:F28)</f>
        <v>4307</v>
      </c>
      <c r="G29" s="18">
        <f>SUM(G26:G28)</f>
        <v>294618.63746000006</v>
      </c>
      <c r="H29" s="20"/>
      <c r="I29" s="6">
        <f>SUM(I26:I28)</f>
        <v>299783.92128999997</v>
      </c>
      <c r="J29" s="19"/>
      <c r="K29" s="6">
        <f>SUM(K26:K28)</f>
        <v>307648.06112999999</v>
      </c>
      <c r="L29" s="19"/>
      <c r="M29" s="6">
        <f>SUM(M26:M28)</f>
        <v>307648.06112999999</v>
      </c>
    </row>
    <row r="30" spans="1:13" ht="30.75" thickBot="1" x14ac:dyDescent="0.3">
      <c r="A30" s="13" t="s">
        <v>34</v>
      </c>
      <c r="B30" s="3" t="s">
        <v>26</v>
      </c>
      <c r="C30" s="106" t="s">
        <v>140</v>
      </c>
      <c r="D30" s="7">
        <v>4050</v>
      </c>
      <c r="E30" s="8">
        <f>40496078.97/1000</f>
        <v>40496.078970000002</v>
      </c>
      <c r="F30" s="14">
        <v>4050</v>
      </c>
      <c r="G30" s="8">
        <f>52142933.3/1000</f>
        <v>52142.933299999997</v>
      </c>
      <c r="H30" s="14">
        <v>4050</v>
      </c>
      <c r="I30" s="4">
        <f>56401270.44/1000</f>
        <v>56401.27044</v>
      </c>
      <c r="J30" s="14">
        <v>4050</v>
      </c>
      <c r="K30" s="4">
        <f>54231017.7/1000</f>
        <v>54231.017700000004</v>
      </c>
      <c r="L30" s="14">
        <v>4050</v>
      </c>
      <c r="M30" s="4">
        <f>54231017.7/1000</f>
        <v>54231.017700000004</v>
      </c>
    </row>
    <row r="31" spans="1:13" ht="32.25" customHeight="1" thickBot="1" x14ac:dyDescent="0.3">
      <c r="A31" s="13" t="s">
        <v>35</v>
      </c>
      <c r="B31" s="3" t="s">
        <v>36</v>
      </c>
      <c r="C31" s="106" t="s">
        <v>141</v>
      </c>
      <c r="D31" s="5">
        <v>45</v>
      </c>
      <c r="E31" s="4">
        <f>2772393.05/1000</f>
        <v>2772.3930499999997</v>
      </c>
      <c r="F31" s="7">
        <v>68</v>
      </c>
      <c r="G31" s="8">
        <f>2999338.31/1000</f>
        <v>2999.3383100000001</v>
      </c>
      <c r="H31" s="7">
        <v>68</v>
      </c>
      <c r="I31" s="4">
        <f>3144650.64/1000</f>
        <v>3144.6506400000003</v>
      </c>
      <c r="J31" s="7">
        <v>68</v>
      </c>
      <c r="K31" s="4">
        <f>3061026.51/1000</f>
        <v>3061.0265099999997</v>
      </c>
      <c r="L31" s="7">
        <v>68</v>
      </c>
      <c r="M31" s="4">
        <f>3061026.51/1000</f>
        <v>3061.0265099999997</v>
      </c>
    </row>
    <row r="32" spans="1:13" ht="65.25" customHeight="1" thickBot="1" x14ac:dyDescent="0.3">
      <c r="A32" s="13" t="s">
        <v>37</v>
      </c>
      <c r="B32" s="3" t="s">
        <v>38</v>
      </c>
      <c r="C32" s="106" t="s">
        <v>141</v>
      </c>
      <c r="D32" s="5" t="s">
        <v>39</v>
      </c>
      <c r="E32" s="4">
        <f>7927098.11/1000</f>
        <v>7927.0981099999999</v>
      </c>
      <c r="F32" s="107" t="s">
        <v>40</v>
      </c>
      <c r="G32" s="108">
        <f>6199956.58/1000</f>
        <v>6199.95658</v>
      </c>
      <c r="H32" s="20" t="s">
        <v>40</v>
      </c>
      <c r="I32" s="109">
        <f>6041039.38/1000</f>
        <v>6041.0393800000002</v>
      </c>
      <c r="J32" s="20" t="s">
        <v>40</v>
      </c>
      <c r="K32" s="4">
        <f>5880393.07/1000</f>
        <v>5880.3930700000001</v>
      </c>
      <c r="L32" s="20" t="s">
        <v>40</v>
      </c>
      <c r="M32" s="4">
        <f>5880393.07/1000</f>
        <v>5880.3930700000001</v>
      </c>
    </row>
    <row r="33" spans="1:13" ht="58.9" customHeight="1" thickBot="1" x14ac:dyDescent="0.3">
      <c r="A33" s="13" t="s">
        <v>41</v>
      </c>
      <c r="B33" s="3" t="s">
        <v>36</v>
      </c>
      <c r="C33" s="106" t="s">
        <v>141</v>
      </c>
      <c r="D33" s="5">
        <v>14</v>
      </c>
      <c r="E33" s="4">
        <f>8130782.73/1000</f>
        <v>8130.7827300000008</v>
      </c>
      <c r="F33" s="14">
        <v>14</v>
      </c>
      <c r="G33" s="8">
        <f>9346310.52/1000</f>
        <v>9346.3105199999991</v>
      </c>
      <c r="H33" s="20">
        <v>14</v>
      </c>
      <c r="I33" s="4">
        <f>9199482.34/1000</f>
        <v>9199.4823400000005</v>
      </c>
      <c r="J33" s="19">
        <v>14</v>
      </c>
      <c r="K33" s="4">
        <f>8954845.17/1000</f>
        <v>8954.8451700000005</v>
      </c>
      <c r="L33" s="19">
        <v>14</v>
      </c>
      <c r="M33" s="4">
        <f>8954845.17/1000</f>
        <v>8954.8451700000005</v>
      </c>
    </row>
    <row r="34" spans="1:13" ht="59.45" customHeight="1" thickBot="1" x14ac:dyDescent="0.3">
      <c r="A34" s="13" t="s">
        <v>42</v>
      </c>
      <c r="B34" s="3" t="s">
        <v>36</v>
      </c>
      <c r="C34" s="106" t="s">
        <v>141</v>
      </c>
      <c r="D34" s="5">
        <v>14</v>
      </c>
      <c r="E34" s="4">
        <f>8130782.74/1000</f>
        <v>8130.7827400000006</v>
      </c>
      <c r="F34" s="14">
        <v>14</v>
      </c>
      <c r="G34" s="8">
        <f>9346310.53/1000</f>
        <v>9346.3105299999988</v>
      </c>
      <c r="H34" s="20">
        <v>14</v>
      </c>
      <c r="I34" s="4">
        <f>9199482.34/1000</f>
        <v>9199.4823400000005</v>
      </c>
      <c r="J34" s="19">
        <v>14</v>
      </c>
      <c r="K34" s="4">
        <f>8954845.17/1000</f>
        <v>8954.8451700000005</v>
      </c>
      <c r="L34" s="19">
        <v>14</v>
      </c>
      <c r="M34" s="4">
        <f>8954845.17/1000</f>
        <v>8954.8451700000005</v>
      </c>
    </row>
    <row r="35" spans="1:13" ht="15.75" hidden="1" thickBot="1" x14ac:dyDescent="0.3">
      <c r="A35" s="13" t="s">
        <v>43</v>
      </c>
      <c r="B35" s="3"/>
      <c r="C35" s="106"/>
      <c r="D35" s="5"/>
      <c r="E35" s="4">
        <f>SUM(E31:E34)</f>
        <v>26961.056629999999</v>
      </c>
      <c r="F35" s="14"/>
      <c r="G35" s="18">
        <f>SUM(G31:G34)</f>
        <v>27891.915939999999</v>
      </c>
      <c r="H35" s="20"/>
      <c r="I35" s="6">
        <f>SUM(I31:I34)</f>
        <v>27584.654699999999</v>
      </c>
      <c r="J35" s="19"/>
      <c r="K35" s="6">
        <f>SUM(K31:K34)</f>
        <v>26851.109920000003</v>
      </c>
      <c r="L35" s="22"/>
      <c r="M35" s="6">
        <f>SUM(M31:M34)</f>
        <v>26851.109920000003</v>
      </c>
    </row>
    <row r="36" spans="1:13" ht="39" customHeight="1" thickBot="1" x14ac:dyDescent="0.3">
      <c r="A36" s="13" t="s">
        <v>44</v>
      </c>
      <c r="B36" s="3" t="s">
        <v>26</v>
      </c>
      <c r="C36" s="106" t="s">
        <v>142</v>
      </c>
      <c r="D36" s="5">
        <v>850</v>
      </c>
      <c r="E36" s="4">
        <f>2149723.08/1000</f>
        <v>2149.7230800000002</v>
      </c>
      <c r="F36" s="14">
        <v>850</v>
      </c>
      <c r="G36" s="110">
        <f>2230096.33/1000</f>
        <v>2230.0963299999999</v>
      </c>
      <c r="H36" s="20">
        <v>850</v>
      </c>
      <c r="I36" s="4">
        <f>3103912.89/1000</f>
        <v>3103.9128900000001</v>
      </c>
      <c r="J36" s="19">
        <v>850</v>
      </c>
      <c r="K36" s="4">
        <f>1690078.1/1000</f>
        <v>1690.0781000000002</v>
      </c>
      <c r="L36" s="19">
        <v>850</v>
      </c>
      <c r="M36" s="4">
        <f>1690078.1/1000</f>
        <v>1690.0781000000002</v>
      </c>
    </row>
    <row r="37" spans="1:13" ht="16.5" thickBot="1" x14ac:dyDescent="0.3">
      <c r="A37" s="23" t="s">
        <v>45</v>
      </c>
      <c r="B37" s="57"/>
      <c r="C37" s="57" t="s">
        <v>46</v>
      </c>
      <c r="D37" s="24" t="s">
        <v>46</v>
      </c>
      <c r="E37" s="57" t="s">
        <v>46</v>
      </c>
      <c r="F37" s="25"/>
      <c r="G37" s="31">
        <f>G25+G29+G30+G35+G36</f>
        <v>706338.10959000001</v>
      </c>
      <c r="H37" s="31"/>
      <c r="I37" s="31">
        <f>I25+I29+I30+I35+I36</f>
        <v>726732.01150000002</v>
      </c>
      <c r="J37" s="31"/>
      <c r="K37" s="31">
        <f t="shared" ref="K37:M37" si="0">K25+K29+K30+K35+K36</f>
        <v>721100.44864999992</v>
      </c>
      <c r="L37" s="31"/>
      <c r="M37" s="31">
        <f t="shared" si="0"/>
        <v>721100.44864999992</v>
      </c>
    </row>
    <row r="38" spans="1:13" ht="9" customHeight="1" x14ac:dyDescent="0.25">
      <c r="A38" s="26"/>
      <c r="B38" s="26"/>
      <c r="C38" s="26"/>
      <c r="D38" s="26"/>
      <c r="F38" s="26"/>
      <c r="G38" s="26"/>
      <c r="H38" s="26"/>
      <c r="I38" s="26"/>
      <c r="J38" s="26"/>
      <c r="K38" s="26"/>
      <c r="L38" s="26"/>
      <c r="M38" s="26"/>
    </row>
    <row r="39" spans="1:13" ht="18.75" x14ac:dyDescent="0.3">
      <c r="A39" s="27" t="s">
        <v>47</v>
      </c>
      <c r="B39" s="28"/>
      <c r="C39" s="28"/>
      <c r="D39" s="29" t="s">
        <v>48</v>
      </c>
    </row>
    <row r="40" spans="1:13" ht="8.4499999999999993" customHeight="1" x14ac:dyDescent="0.3">
      <c r="A40" s="27"/>
      <c r="B40" s="28"/>
      <c r="C40" s="28"/>
      <c r="D40" s="29"/>
    </row>
    <row r="41" spans="1:13" x14ac:dyDescent="0.25">
      <c r="G41" s="21"/>
    </row>
    <row r="42" spans="1:13" x14ac:dyDescent="0.25">
      <c r="A42" s="10" t="s">
        <v>49</v>
      </c>
      <c r="C42" s="10" t="s">
        <v>50</v>
      </c>
    </row>
    <row r="43" spans="1:13" x14ac:dyDescent="0.25">
      <c r="A43" s="30" t="s">
        <v>51</v>
      </c>
    </row>
  </sheetData>
  <mergeCells count="25">
    <mergeCell ref="A16:A22"/>
    <mergeCell ref="B16:B22"/>
    <mergeCell ref="C16:C22"/>
    <mergeCell ref="D16:E18"/>
    <mergeCell ref="F16:M16"/>
    <mergeCell ref="F17:G18"/>
    <mergeCell ref="H17:M17"/>
    <mergeCell ref="N2:X2"/>
    <mergeCell ref="A12:M12"/>
    <mergeCell ref="A13:M13"/>
    <mergeCell ref="A14:M14"/>
    <mergeCell ref="A15:M15"/>
    <mergeCell ref="H18:I18"/>
    <mergeCell ref="J18:K18"/>
    <mergeCell ref="L18:M18"/>
    <mergeCell ref="D19:D22"/>
    <mergeCell ref="E19:E22"/>
    <mergeCell ref="F19:F22"/>
    <mergeCell ref="G19:G22"/>
    <mergeCell ref="H19:H22"/>
    <mergeCell ref="I19:I22"/>
    <mergeCell ref="J19:J22"/>
    <mergeCell ref="K19:K22"/>
    <mergeCell ref="L19:L22"/>
    <mergeCell ref="M19:M22"/>
  </mergeCells>
  <pageMargins left="0.31496062992125984" right="0.11811023622047245" top="0.39370078740157483" bottom="0" header="0" footer="0"/>
  <pageSetup paperSize="9" scale="60" orientation="landscape" horizontalDpi="180" verticalDpi="18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 сфере культуры</vt:lpstr>
      <vt:lpstr>в сфере физической культуры</vt:lpstr>
      <vt:lpstr>в сфере образования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SI.Beresneva</cp:lastModifiedBy>
  <cp:lastPrinted>2019-07-24T04:23:41Z</cp:lastPrinted>
  <dcterms:created xsi:type="dcterms:W3CDTF">2019-07-24T04:15:09Z</dcterms:created>
  <dcterms:modified xsi:type="dcterms:W3CDTF">2019-11-14T06:11:40Z</dcterms:modified>
</cp:coreProperties>
</file>